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https://d.docs.live.net/4cfc0e3f538f33db/Desktop/"/>
    </mc:Choice>
  </mc:AlternateContent>
  <xr:revisionPtr revIDLastSave="769" documentId="13_ncr:1_{006741FE-F7EC-6547-9480-83E065000EDB}" xr6:coauthVersionLast="47" xr6:coauthVersionMax="47" xr10:uidLastSave="{84895461-7B39-439D-8958-471D4AACD184}"/>
  <bookViews>
    <workbookView xWindow="-28920" yWindow="-45" windowWidth="29040" windowHeight="15720" activeTab="1" xr2:uid="{CE3BDA13-FB85-0348-A5C8-DBABF7F9BCC3}"/>
  </bookViews>
  <sheets>
    <sheet name="Cover" sheetId="8" r:id="rId1"/>
    <sheet name="Cash Flow Projection - Basic" sheetId="7" r:id="rId2"/>
    <sheet name="Glossary" sheetId="9"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29" i="7" l="1"/>
  <c r="C7" i="7"/>
  <c r="H29" i="7"/>
  <c r="H36" i="7" s="1"/>
  <c r="I29" i="7"/>
  <c r="I36" i="7" s="1"/>
  <c r="J29" i="7"/>
  <c r="J36" i="7" s="1"/>
  <c r="K29" i="7"/>
  <c r="K36" i="7" s="1"/>
  <c r="L29" i="7"/>
  <c r="L36" i="7" s="1"/>
  <c r="M29" i="7"/>
  <c r="M36" i="7" s="1"/>
  <c r="N29" i="7"/>
  <c r="N36" i="7" s="1"/>
  <c r="O29" i="7"/>
  <c r="O36" i="7" s="1"/>
  <c r="P29" i="7"/>
  <c r="P36" i="7" s="1"/>
  <c r="G29" i="7"/>
  <c r="G36" i="7" s="1"/>
  <c r="F8" i="7"/>
  <c r="F7" i="7" l="1"/>
  <c r="F56" i="7" s="1"/>
  <c r="F3" i="7"/>
  <c r="H27" i="7"/>
  <c r="H34" i="7" s="1"/>
  <c r="I27" i="7"/>
  <c r="I34" i="7" s="1"/>
  <c r="J27" i="7"/>
  <c r="J34" i="7" s="1"/>
  <c r="K27" i="7"/>
  <c r="K34" i="7" s="1"/>
  <c r="L27" i="7"/>
  <c r="L34" i="7" s="1"/>
  <c r="M27" i="7"/>
  <c r="M34" i="7" s="1"/>
  <c r="N27" i="7"/>
  <c r="N34" i="7" s="1"/>
  <c r="O27" i="7"/>
  <c r="O34" i="7" s="1"/>
  <c r="P27" i="7"/>
  <c r="P34" i="7" s="1"/>
  <c r="H28" i="7"/>
  <c r="H35" i="7" s="1"/>
  <c r="I28" i="7"/>
  <c r="I35" i="7" s="1"/>
  <c r="J28" i="7"/>
  <c r="J35" i="7" s="1"/>
  <c r="K28" i="7"/>
  <c r="K35" i="7" s="1"/>
  <c r="L28" i="7"/>
  <c r="M28" i="7"/>
  <c r="M35" i="7" s="1"/>
  <c r="N28" i="7"/>
  <c r="N35" i="7" s="1"/>
  <c r="O28" i="7"/>
  <c r="O35" i="7" s="1"/>
  <c r="P28" i="7"/>
  <c r="P35" i="7" s="1"/>
  <c r="G27" i="7"/>
  <c r="G34" i="7" s="1"/>
  <c r="G28" i="7"/>
  <c r="G35" i="7" s="1"/>
  <c r="L35" i="7" l="1"/>
  <c r="G16" i="7" l="1"/>
  <c r="H15" i="7"/>
  <c r="H16" i="7" s="1"/>
  <c r="I15" i="7" l="1"/>
  <c r="I16" i="7" l="1"/>
  <c r="J15" i="7"/>
  <c r="K15" i="7" l="1"/>
  <c r="J16" i="7"/>
  <c r="L15" i="7" l="1"/>
  <c r="K16" i="7"/>
  <c r="M15" i="7" l="1"/>
  <c r="L16" i="7"/>
  <c r="N15" i="7" l="1"/>
  <c r="M16" i="7"/>
  <c r="O15" i="7" l="1"/>
  <c r="N16" i="7"/>
  <c r="P15" i="7" l="1"/>
  <c r="P16" i="7" s="1"/>
  <c r="O16" i="7"/>
  <c r="C3" i="7" l="1"/>
  <c r="G4" i="7" s="1"/>
  <c r="G5" i="7" s="1"/>
  <c r="H4" i="7" s="1"/>
  <c r="H5" i="7" s="1"/>
  <c r="I4" i="7" s="1"/>
  <c r="I5" i="7" s="1"/>
  <c r="J4" i="7" s="1"/>
  <c r="J5" i="7" s="1"/>
  <c r="K4" i="7" s="1"/>
  <c r="K5" i="7" s="1"/>
  <c r="L4" i="7" s="1"/>
  <c r="L5" i="7" s="1"/>
  <c r="M4" i="7" s="1"/>
  <c r="M5" i="7" s="1"/>
  <c r="N4" i="7" s="1"/>
  <c r="N5" i="7" s="1"/>
  <c r="O4" i="7" s="1"/>
  <c r="O5" i="7" s="1"/>
  <c r="P4" i="7" s="1"/>
  <c r="P5" i="7" s="1"/>
  <c r="P10" i="7" s="1"/>
  <c r="P13" i="7" s="1"/>
  <c r="P14" i="7" l="1"/>
  <c r="P19" i="7"/>
  <c r="K10" i="7"/>
  <c r="K13" i="7" s="1"/>
  <c r="I10" i="7"/>
  <c r="I13" i="7" s="1"/>
  <c r="J10" i="7"/>
  <c r="J13" i="7" s="1"/>
  <c r="H10" i="7"/>
  <c r="H13" i="7" s="1"/>
  <c r="O10" i="7"/>
  <c r="O13" i="7" s="1"/>
  <c r="G10" i="7"/>
  <c r="G13" i="7" s="1"/>
  <c r="N10" i="7"/>
  <c r="N13" i="7" s="1"/>
  <c r="M10" i="7"/>
  <c r="M13" i="7" s="1"/>
  <c r="L10" i="7"/>
  <c r="L13" i="7" s="1"/>
  <c r="P26" i="7" l="1"/>
  <c r="P30" i="7" s="1"/>
  <c r="P23" i="7"/>
  <c r="I14" i="7"/>
  <c r="I19" i="7"/>
  <c r="K14" i="7"/>
  <c r="K19" i="7"/>
  <c r="G14" i="7"/>
  <c r="G19" i="7"/>
  <c r="G23" i="7" s="1"/>
  <c r="O14" i="7"/>
  <c r="O19" i="7"/>
  <c r="H14" i="7"/>
  <c r="H19" i="7"/>
  <c r="J14" i="7"/>
  <c r="J19" i="7"/>
  <c r="L14" i="7"/>
  <c r="L19" i="7"/>
  <c r="M14" i="7"/>
  <c r="M19" i="7"/>
  <c r="N14" i="7"/>
  <c r="N19" i="7"/>
  <c r="P33" i="7" l="1"/>
  <c r="J26" i="7"/>
  <c r="J30" i="7" s="1"/>
  <c r="J23" i="7"/>
  <c r="H26" i="7"/>
  <c r="H30" i="7" s="1"/>
  <c r="H23" i="7"/>
  <c r="I26" i="7"/>
  <c r="I30" i="7" s="1"/>
  <c r="I23" i="7"/>
  <c r="O26" i="7"/>
  <c r="O30" i="7" s="1"/>
  <c r="O23" i="7"/>
  <c r="K26" i="7"/>
  <c r="K30" i="7" s="1"/>
  <c r="K23" i="7"/>
  <c r="N26" i="7"/>
  <c r="N30" i="7" s="1"/>
  <c r="N23" i="7"/>
  <c r="M26" i="7"/>
  <c r="M30" i="7" s="1"/>
  <c r="M23" i="7"/>
  <c r="L26" i="7"/>
  <c r="L30" i="7" s="1"/>
  <c r="L23" i="7"/>
  <c r="G26" i="7"/>
  <c r="G30" i="7" s="1"/>
  <c r="P45" i="7"/>
  <c r="P54" i="7"/>
  <c r="K33" i="7"/>
  <c r="J33" i="7"/>
  <c r="J37" i="7" l="1"/>
  <c r="J41" i="7" s="1"/>
  <c r="K37" i="7"/>
  <c r="K41" i="7" s="1"/>
  <c r="M33" i="7"/>
  <c r="I33" i="7"/>
  <c r="P37" i="7"/>
  <c r="P41" i="7" s="1"/>
  <c r="O33" i="7"/>
  <c r="L33" i="7"/>
  <c r="H33" i="7"/>
  <c r="N33" i="7"/>
  <c r="H45" i="7"/>
  <c r="H54" i="7"/>
  <c r="G45" i="7"/>
  <c r="G54" i="7"/>
  <c r="M54" i="7"/>
  <c r="M45" i="7"/>
  <c r="N54" i="7"/>
  <c r="N45" i="7"/>
  <c r="L45" i="7"/>
  <c r="L54" i="7"/>
  <c r="O45" i="7"/>
  <c r="O54" i="7"/>
  <c r="J45" i="7"/>
  <c r="J54" i="7"/>
  <c r="I45" i="7"/>
  <c r="I54" i="7"/>
  <c r="K45" i="7"/>
  <c r="K54" i="7"/>
  <c r="G33" i="7"/>
  <c r="K46" i="7" l="1"/>
  <c r="K42" i="7"/>
  <c r="P46" i="7"/>
  <c r="P47" i="7" s="1"/>
  <c r="P53" i="7" s="1"/>
  <c r="P56" i="7" s="1"/>
  <c r="P57" i="7" s="1"/>
  <c r="P42" i="7"/>
  <c r="J46" i="7"/>
  <c r="J47" i="7" s="1"/>
  <c r="J42" i="7"/>
  <c r="N37" i="7"/>
  <c r="N41" i="7" s="1"/>
  <c r="G37" i="7"/>
  <c r="G41" i="7" s="1"/>
  <c r="I37" i="7"/>
  <c r="I41" i="7" s="1"/>
  <c r="M37" i="7"/>
  <c r="M41" i="7" s="1"/>
  <c r="H37" i="7"/>
  <c r="H41" i="7" s="1"/>
  <c r="L37" i="7"/>
  <c r="L41" i="7" s="1"/>
  <c r="O37" i="7"/>
  <c r="O41" i="7" s="1"/>
  <c r="K47" i="7"/>
  <c r="K53" i="7" s="1"/>
  <c r="K56" i="7" s="1"/>
  <c r="K57" i="7" s="1"/>
  <c r="J53" i="7" l="1"/>
  <c r="J56" i="7" s="1"/>
  <c r="J57" i="7" s="1"/>
  <c r="J49" i="7"/>
  <c r="K49" i="7"/>
  <c r="P49" i="7"/>
  <c r="M46" i="7"/>
  <c r="M47" i="7" s="1"/>
  <c r="M53" i="7" s="1"/>
  <c r="M56" i="7" s="1"/>
  <c r="M57" i="7" s="1"/>
  <c r="M42" i="7"/>
  <c r="I46" i="7"/>
  <c r="I47" i="7" s="1"/>
  <c r="I53" i="7" s="1"/>
  <c r="I56" i="7" s="1"/>
  <c r="I57" i="7" s="1"/>
  <c r="I42" i="7"/>
  <c r="G46" i="7"/>
  <c r="G47" i="7" s="1"/>
  <c r="G49" i="7" s="1"/>
  <c r="G42" i="7"/>
  <c r="N46" i="7"/>
  <c r="N47" i="7" s="1"/>
  <c r="N53" i="7" s="1"/>
  <c r="N56" i="7" s="1"/>
  <c r="N57" i="7" s="1"/>
  <c r="N42" i="7"/>
  <c r="L46" i="7"/>
  <c r="L47" i="7" s="1"/>
  <c r="L53" i="7" s="1"/>
  <c r="L56" i="7" s="1"/>
  <c r="L57" i="7" s="1"/>
  <c r="L42" i="7"/>
  <c r="H46" i="7"/>
  <c r="H47" i="7" s="1"/>
  <c r="H53" i="7" s="1"/>
  <c r="H56" i="7" s="1"/>
  <c r="H57" i="7" s="1"/>
  <c r="H42" i="7"/>
  <c r="O46" i="7"/>
  <c r="O47" i="7" s="1"/>
  <c r="O53" i="7" s="1"/>
  <c r="O56" i="7" s="1"/>
  <c r="O57" i="7" s="1"/>
  <c r="O42" i="7"/>
  <c r="G53" i="7" l="1"/>
  <c r="H49" i="7"/>
  <c r="M49" i="7"/>
  <c r="O49" i="7"/>
  <c r="I49" i="7"/>
  <c r="L49" i="7"/>
  <c r="G56" i="7"/>
  <c r="N49" i="7"/>
  <c r="G57" i="7" l="1"/>
  <c r="C25" i="7"/>
  <c r="C27" i="7"/>
  <c r="C28" i="7" s="1"/>
  <c r="C26" i="7"/>
</calcChain>
</file>

<file path=xl/sharedStrings.xml><?xml version="1.0" encoding="utf-8"?>
<sst xmlns="http://schemas.openxmlformats.org/spreadsheetml/2006/main" count="144" uniqueCount="124">
  <si>
    <t>Assumptions</t>
  </si>
  <si>
    <t>Year</t>
  </si>
  <si>
    <t>Occupancy</t>
  </si>
  <si>
    <t>Rooms</t>
  </si>
  <si>
    <t>Total Departmental Expenses</t>
  </si>
  <si>
    <t>Gross Operating Profit</t>
  </si>
  <si>
    <t>Management Fees</t>
  </si>
  <si>
    <t>EBITDA</t>
  </si>
  <si>
    <t>NOI</t>
  </si>
  <si>
    <t>ADR</t>
  </si>
  <si>
    <r>
      <t>Xpert</t>
    </r>
    <r>
      <rPr>
        <b/>
        <sz val="26"/>
        <color theme="3" tint="0.249977111117893"/>
        <rFont val="Palatino Linotype"/>
        <family val="1"/>
      </rPr>
      <t>Host</t>
    </r>
  </si>
  <si>
    <t>Unlocking Hospitality Potential</t>
  </si>
  <si>
    <t>Hospitality | Careers | Consulting</t>
  </si>
  <si>
    <t>File Name</t>
  </si>
  <si>
    <t xml:space="preserve">Version </t>
  </si>
  <si>
    <t>Contents</t>
  </si>
  <si>
    <t>Premium</t>
  </si>
  <si>
    <t>Free</t>
  </si>
  <si>
    <t>Legend</t>
  </si>
  <si>
    <t>Input</t>
  </si>
  <si>
    <t>Input Value</t>
  </si>
  <si>
    <t>Output</t>
  </si>
  <si>
    <t>Output Value</t>
  </si>
  <si>
    <t>Disclaimer</t>
  </si>
  <si>
    <t>The content and materials provided by XpertHost, whether directly featured or linked to, are intended for informational and educational purposes only. They do not cater to individual personal requirements.
The information presented does not constitute financial advice or recommendation of any kind and should not be interpreted as such. XpertHost is not regulated by the Financial Conduct Authority (FCA), and its authors are not financial advisors. Therefore, XpertHost is not authorized to offer financial advice.
Users are advised to consult with qualified professionals for advice tailored to their specific financial situations and needs. XpertHost disclaims any liability for decisions made based on information provided through its platform or related communications.
By accessing or using our tools and resources, you acknowledge and agree to this disclaimer.</t>
  </si>
  <si>
    <r>
      <rPr>
        <b/>
        <sz val="11"/>
        <color rgb="FFFF0000"/>
        <rFont val="Times New Roman"/>
        <family val="1"/>
      </rPr>
      <t>LEGAL WARNING:</t>
    </r>
    <r>
      <rPr>
        <sz val="11"/>
        <color rgb="FFFF0000"/>
        <rFont val="Times New Roman"/>
        <family val="1"/>
      </rPr>
      <t xml:space="preserve">
This file and its contents are the exclusive property of XpertHost Ltd. Unauthorized sharing, reproduction, or distribution of this file or any of its contents is strictly prohibited. Prior written consent from XpertHost Ltd is required for any use beyond the intended purpose. All rights reserved.</t>
    </r>
  </si>
  <si>
    <t>Hotel Underwritting Model - Free</t>
  </si>
  <si>
    <t>Summary</t>
  </si>
  <si>
    <t>Cash Flow Projection (Enhanced)</t>
  </si>
  <si>
    <t>Waterfall - IRR Hurdles</t>
  </si>
  <si>
    <t>F&amp;B Focus</t>
  </si>
  <si>
    <t>Other Operating Departments Focus</t>
  </si>
  <si>
    <t>Other Expenses Focus</t>
  </si>
  <si>
    <t>Benchmarks</t>
  </si>
  <si>
    <t>Cash Flow Projection (Basic)</t>
  </si>
  <si>
    <t>Glossary</t>
  </si>
  <si>
    <t>Explanation</t>
  </si>
  <si>
    <t>CAPEX</t>
  </si>
  <si>
    <t>Keys</t>
  </si>
  <si>
    <r>
      <t>Xpert</t>
    </r>
    <r>
      <rPr>
        <b/>
        <sz val="30"/>
        <color rgb="FF7030A0"/>
        <rFont val="Palatino Linotype"/>
        <family val="1"/>
      </rPr>
      <t>Host</t>
    </r>
  </si>
  <si>
    <t>Year Start</t>
  </si>
  <si>
    <t>Month</t>
  </si>
  <si>
    <t>Dropdown Value</t>
  </si>
  <si>
    <t>Select Dropdown Value</t>
  </si>
  <si>
    <t>Year End</t>
  </si>
  <si>
    <t>Number of Days</t>
  </si>
  <si>
    <t>Average Daily Rate, the average revenue earned per occupied room in a given period. Calculated as Total Rooms Revenue / Total Rooms Sold</t>
  </si>
  <si>
    <t>The percentage of available rooms in a hotel that are occupied during a specific period. Calculated as (Rooms Sold / Rooms Available) * 100</t>
  </si>
  <si>
    <t>A performance metric combining ADR and Occupancy to reflect the revenue generated per available room. Calculated as ADR * Occupancy Rate</t>
  </si>
  <si>
    <t>Funds used for acquiring, upgrading, or maintaining physical assets such as hotel renovations, equipment, or expansions. 
CAPEX is essential for preserving or enhancing a hotel's value and competitive edge.</t>
  </si>
  <si>
    <t>Refers to the total number of guest rooms in a hotel, often used as a measure of scale. 
Each guest room is colloquially referred to as a "key" in industry terms.</t>
  </si>
  <si>
    <t>The income generated by a hotel after deducting operating expenses (excluding financing, taxes, and CAPEX). Calculated as Total Revenue - Operating Expenses</t>
  </si>
  <si>
    <t>An investor in a hotel fund or partnership who provides capital but has limited involvement in day-to-day operations. Their liability is restricted to their investment amount.</t>
  </si>
  <si>
    <t>The managing partner in a hotel investment or fund, responsible for operations, management decisions, and often raising capital. GPs assume greater risk but also share in larger rewards.</t>
  </si>
  <si>
    <t>Limited Partner (LP)</t>
  </si>
  <si>
    <t>General Partner (GP)</t>
  </si>
  <si>
    <t>Net Operating Income (NOI)</t>
  </si>
  <si>
    <t>Gross Operating Profit (GOP)</t>
  </si>
  <si>
    <t>A measure of a hotel's profitability before fixed costs like rent, interest, and depreciation. Calculated as Total Revenue - Operating Costs</t>
  </si>
  <si>
    <t>Furniture, Fixtures, and Equipment (FF&amp;E)</t>
  </si>
  <si>
    <t>The movable items in a hotel (e.g., beds, desks, chairs) that contribute to guest experience. These are distinct from real property and often require periodic replacement.</t>
  </si>
  <si>
    <t>Capitalization Rate (Cap Rate)</t>
  </si>
  <si>
    <t>The rate of return expected on a hotel investment, calculated by dividing NOI by the purchase price or current market value. Calculated as NOI / Asset Value</t>
  </si>
  <si>
    <t>Property Improvement Plan (PIP)</t>
  </si>
  <si>
    <t>A plan mandated by a brand (for franchised properties) or ownership to renovate or upgrade a hotel to meet brand standards or competitive positioning.</t>
  </si>
  <si>
    <t>Debt Service Coverage Ratio (DSCR)</t>
  </si>
  <si>
    <t>A measure of a hotel's ability to cover its debt obligations with NOI. Calculated as NOI / Total Debt Service</t>
  </si>
  <si>
    <t>Benchmarking</t>
  </si>
  <si>
    <t>The practice of comparing a hotel’s performance metrics (e.g., ADR, RevPAR) against a competitive set or industry averages to identify strengths and weaknesses.</t>
  </si>
  <si>
    <t>Per Available Room / Key Analysis</t>
  </si>
  <si>
    <t>Financial metrics presented on a per-room basis, often used in transactions. For example, "Price Per Key" or "RevPAR"</t>
  </si>
  <si>
    <t>Hotel Management Agreement (HMA)</t>
  </si>
  <si>
    <t>The legal contract between a hotel owner and an operator that outlines terms of management, including fees and responsibilities.</t>
  </si>
  <si>
    <t>Franchise Agreement</t>
  </si>
  <si>
    <t>A legal agreement granting a hotel owner the right to operate under a specific brand in exchange for fees and adherence to brand standards.</t>
  </si>
  <si>
    <t>Number of Rooms</t>
  </si>
  <si>
    <t>Available Rooms per Year</t>
  </si>
  <si>
    <t>Occupancy Rate</t>
  </si>
  <si>
    <t>Occupied Rooms per Year</t>
  </si>
  <si>
    <t>RevPar</t>
  </si>
  <si>
    <t>Food &amp; Beverage</t>
  </si>
  <si>
    <t>Other Operating Departments</t>
  </si>
  <si>
    <t>Purchase Price</t>
  </si>
  <si>
    <t>Department Revenues</t>
  </si>
  <si>
    <t>Department Expenses</t>
  </si>
  <si>
    <t>Department Profit</t>
  </si>
  <si>
    <t>Total Department Profit</t>
  </si>
  <si>
    <t>Total Department Revenue</t>
  </si>
  <si>
    <t>Base Fee</t>
  </si>
  <si>
    <t>Incentive Fee</t>
  </si>
  <si>
    <t>Base Fee (% Revenue)</t>
  </si>
  <si>
    <t>Incentive Fee (% GOP)</t>
  </si>
  <si>
    <t>Total Management Fees</t>
  </si>
  <si>
    <t>FF&amp;E Reserve</t>
  </si>
  <si>
    <t>Incentive Fee Payable on GOP above</t>
  </si>
  <si>
    <t>Rooms Profit Margin</t>
  </si>
  <si>
    <t>F&amp;B Profit Margin</t>
  </si>
  <si>
    <t>OOO Profit Margin</t>
  </si>
  <si>
    <t>FF&amp;E Reserve (% Revenue)</t>
  </si>
  <si>
    <t>PIP</t>
  </si>
  <si>
    <t xml:space="preserve">NOI Margin % </t>
  </si>
  <si>
    <t>GOP Margin %</t>
  </si>
  <si>
    <t>Starting Date Trading</t>
  </si>
  <si>
    <t>Miscellaneous Income</t>
  </si>
  <si>
    <t>Miscellaneous Expenses</t>
  </si>
  <si>
    <t>Miscellaneous Income Margin</t>
  </si>
  <si>
    <t>Miscellaneous Income Profit</t>
  </si>
  <si>
    <t>Total Undistributed Operating Expenses</t>
  </si>
  <si>
    <t>IBNOIE</t>
  </si>
  <si>
    <t>Non-Operating Income and Expenses</t>
  </si>
  <si>
    <t>Cash Outflows</t>
  </si>
  <si>
    <t>Cash Inflows</t>
  </si>
  <si>
    <t>MOIC</t>
  </si>
  <si>
    <t>Summary Hotel Operating Proforma [For Hotel Investors]</t>
  </si>
  <si>
    <t>Total Acquisition Cost</t>
  </si>
  <si>
    <t>Term</t>
  </si>
  <si>
    <t>Income Before Non-Operating Income and Expenses (IBNOIE)</t>
  </si>
  <si>
    <t>A measure of profitability that reflects a hotel's operating performance before deducting non-operating expenses like interest, taxes, depreciation, and amortization. 
Calculated as Total Revenue - Operating Expenses</t>
  </si>
  <si>
    <t>Payback Period</t>
  </si>
  <si>
    <t>The time required for an investment to generate enough cash flow to recover its initial cost. Calculated as Initial Investment / Annual Cash Flow</t>
  </si>
  <si>
    <t>Capital Recovery and Return Metrics</t>
  </si>
  <si>
    <t>A profitability metric used to evaluate the total return on an investment relative to the initial capital invested. Calculated as Total Cash Inflow / Initial Capital Invested</t>
  </si>
  <si>
    <r>
      <t>Xpert</t>
    </r>
    <r>
      <rPr>
        <b/>
        <sz val="30"/>
        <color theme="3" tint="0.249977111117893"/>
        <rFont val="Palatino Linotype"/>
        <family val="1"/>
      </rPr>
      <t>Host</t>
    </r>
  </si>
  <si>
    <t>IRR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</si>
</sst>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3" formatCode="_-* #,##0.00_-;\-* #,##0.00_-;_-* &quot;-&quot;??_-;_-@_-"/>
    <numFmt numFmtId="164" formatCode="_(&quot;GBP&quot;* #,##0.00_);_(&quot;GBP&quot;* \(#,##0.00\);_(&quot;GBP&quot;* &quot;-&quot;??_);_(@_)"/>
    <numFmt numFmtId="165" formatCode="_-[$£-809]* #,##0.00_-;\-[$£-809]* #,##0.00_-;_-[$£-809]* &quot;-&quot;??_-;_-@_-"/>
    <numFmt numFmtId="166" formatCode="_-* #,##0_-;\-* #,##0_-;_-* &quot;-&quot;??_-;_-@_-"/>
    <numFmt numFmtId="167" formatCode="[$-F800]dddd\,\ mmmm\ dd\,\ yyyy"/>
    <numFmt numFmtId="168" formatCode="mmm\ yy"/>
    <numFmt numFmtId="169" formatCode="&quot;Year &quot;General"/>
    <numFmt numFmtId="170" formatCode="0.0%"/>
    <numFmt numFmtId="171" formatCode="0.00&quot; Years&quot;"/>
    <numFmt numFmtId="172" formatCode="0.00&quot;x&quot;"/>
  </numFmts>
  <fonts count="30" x14ac:knownFonts="1">
    <font>
      <sz val="12"/>
      <color theme="1"/>
      <name val="Calibri"/>
      <family val="2"/>
      <scheme val="minor"/>
    </font>
    <font>
      <sz val="12"/>
      <color theme="1"/>
      <name val="Calibri"/>
      <family val="2"/>
      <scheme val="minor"/>
    </font>
    <font>
      <b/>
      <sz val="7"/>
      <color rgb="FF000000"/>
      <name val="Calibri"/>
      <family val="2"/>
      <scheme val="minor"/>
    </font>
    <font>
      <sz val="7"/>
      <color rgb="FF000000"/>
      <name val="Calibri"/>
      <family val="2"/>
      <scheme val="minor"/>
    </font>
    <font>
      <b/>
      <sz val="26"/>
      <color theme="1"/>
      <name val="Palatino Linotype"/>
      <family val="1"/>
    </font>
    <font>
      <b/>
      <sz val="26"/>
      <color theme="3" tint="0.249977111117893"/>
      <name val="Palatino Linotype"/>
      <family val="1"/>
    </font>
    <font>
      <i/>
      <sz val="11"/>
      <color theme="2" tint="-0.249977111117893"/>
      <name val="Times New Roman"/>
      <family val="1"/>
    </font>
    <font>
      <sz val="11"/>
      <name val="Times New Roman"/>
      <family val="1"/>
    </font>
    <font>
      <sz val="11"/>
      <color theme="1"/>
      <name val="Times New Roman"/>
      <family val="1"/>
    </font>
    <font>
      <b/>
      <sz val="11"/>
      <color theme="0"/>
      <name val="Times New Roman"/>
      <family val="1"/>
    </font>
    <font>
      <i/>
      <sz val="11"/>
      <color theme="1"/>
      <name val="Times New Roman"/>
      <family val="1"/>
    </font>
    <font>
      <sz val="11"/>
      <color theme="0"/>
      <name val="Times New Roman"/>
      <family val="1"/>
    </font>
    <font>
      <i/>
      <sz val="10"/>
      <color theme="1"/>
      <name val="Times New Roman"/>
      <family val="1"/>
    </font>
    <font>
      <sz val="11"/>
      <color rgb="FFFF0000"/>
      <name val="Times New Roman"/>
      <family val="1"/>
    </font>
    <font>
      <b/>
      <sz val="11"/>
      <color rgb="FFFF0000"/>
      <name val="Times New Roman"/>
      <family val="1"/>
    </font>
    <font>
      <b/>
      <sz val="30"/>
      <color theme="1"/>
      <name val="Palatino Linotype"/>
      <family val="1"/>
    </font>
    <font>
      <b/>
      <sz val="30"/>
      <color rgb="FF7030A0"/>
      <name val="Palatino Linotype"/>
      <family val="1"/>
    </font>
    <font>
      <sz val="12"/>
      <color theme="1"/>
      <name val="Times New Roman"/>
      <family val="1"/>
    </font>
    <font>
      <sz val="12"/>
      <color rgb="FF002060"/>
      <name val="Times New Roman"/>
      <family val="1"/>
    </font>
    <font>
      <sz val="12"/>
      <color theme="0"/>
      <name val="Times New Roman"/>
      <family val="1"/>
    </font>
    <font>
      <b/>
      <sz val="12"/>
      <color theme="0"/>
      <name val="Times New Roman"/>
      <family val="1"/>
    </font>
    <font>
      <sz val="12"/>
      <name val="Times New Roman"/>
      <family val="1"/>
    </font>
    <font>
      <b/>
      <sz val="12"/>
      <color theme="1"/>
      <name val="Times New Roman"/>
      <family val="1"/>
    </font>
    <font>
      <b/>
      <u/>
      <sz val="12"/>
      <color theme="1"/>
      <name val="Times New Roman"/>
      <family val="1"/>
    </font>
    <font>
      <b/>
      <sz val="12"/>
      <color theme="1"/>
      <name val="Calibri"/>
      <family val="2"/>
      <scheme val="minor"/>
    </font>
    <font>
      <i/>
      <sz val="12"/>
      <color theme="1"/>
      <name val="Times New Roman"/>
      <family val="1"/>
    </font>
    <font>
      <sz val="10"/>
      <color theme="1"/>
      <name val="Times New Roman"/>
      <family val="1"/>
    </font>
    <font>
      <u/>
      <sz val="12"/>
      <color theme="10"/>
      <name val="Calibri"/>
      <family val="2"/>
      <scheme val="minor"/>
    </font>
    <font>
      <b/>
      <sz val="12"/>
      <color theme="0"/>
      <name val="Calibri"/>
      <family val="2"/>
      <scheme val="minor"/>
    </font>
    <font>
      <b/>
      <sz val="30"/>
      <color theme="3" tint="0.249977111117893"/>
      <name val="Palatino Linotype"/>
      <family val="1"/>
    </font>
  </fonts>
  <fills count="8">
    <fill>
      <patternFill patternType="none"/>
    </fill>
    <fill>
      <patternFill patternType="gray125"/>
    </fill>
    <fill>
      <patternFill patternType="solid">
        <fgColor theme="0"/>
        <bgColor indexed="64"/>
      </patternFill>
    </fill>
    <fill>
      <patternFill patternType="solid">
        <fgColor theme="3"/>
        <bgColor indexed="64"/>
      </patternFill>
    </fill>
    <fill>
      <patternFill patternType="solid">
        <fgColor theme="3" tint="0.89996032593768116"/>
        <bgColor indexed="64"/>
      </patternFill>
    </fill>
    <fill>
      <patternFill patternType="solid">
        <fgColor theme="3" tint="9.9978637043366805E-2"/>
        <bgColor indexed="64"/>
      </patternFill>
    </fill>
    <fill>
      <patternFill patternType="solid">
        <fgColor theme="3" tint="0.749992370372631"/>
        <bgColor indexed="64"/>
      </patternFill>
    </fill>
    <fill>
      <patternFill patternType="solid">
        <fgColor theme="2" tint="0.39997558519241921"/>
        <bgColor indexed="64"/>
      </patternFill>
    </fill>
  </fills>
  <borders count="1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rgb="FFB2B2B2"/>
      </left>
      <right style="thin">
        <color rgb="FFB2B2B2"/>
      </right>
      <top style="thin">
        <color rgb="FFB2B2B2"/>
      </top>
      <bottom style="thin">
        <color rgb="FFB2B2B2"/>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rgb="FFB2B2B2"/>
      </left>
      <right style="medium">
        <color indexed="64"/>
      </right>
      <top style="thin">
        <color rgb="FFB2B2B2"/>
      </top>
      <bottom style="thin">
        <color rgb="FFB2B2B2"/>
      </bottom>
      <diagonal/>
    </border>
  </borders>
  <cellStyleXfs count="6">
    <xf numFmtId="0" fontId="0" fillId="0" borderId="0"/>
    <xf numFmtId="164" fontId="1" fillId="0" borderId="0" applyFont="0" applyFill="0" applyBorder="0" applyAlignment="0" applyProtection="0"/>
    <xf numFmtId="9" fontId="1" fillId="0" borderId="0" applyFont="0" applyFill="0" applyBorder="0" applyAlignment="0" applyProtection="0"/>
    <xf numFmtId="166" fontId="8" fillId="4" borderId="9"/>
    <xf numFmtId="43" fontId="1" fillId="0" borderId="0" applyFont="0" applyFill="0" applyBorder="0" applyAlignment="0" applyProtection="0"/>
    <xf numFmtId="0" fontId="27" fillId="0" borderId="0" applyNumberFormat="0" applyFill="0" applyBorder="0" applyAlignment="0" applyProtection="0"/>
  </cellStyleXfs>
  <cellXfs count="134">
    <xf numFmtId="0" fontId="0" fillId="0" borderId="0" xfId="0"/>
    <xf numFmtId="0" fontId="0" fillId="2" borderId="0" xfId="0" applyFill="1"/>
    <xf numFmtId="0" fontId="0" fillId="2" borderId="1" xfId="0" applyFill="1" applyBorder="1"/>
    <xf numFmtId="0" fontId="0" fillId="2" borderId="2" xfId="0" applyFill="1" applyBorder="1"/>
    <xf numFmtId="0" fontId="0" fillId="2" borderId="3" xfId="0" applyFill="1" applyBorder="1"/>
    <xf numFmtId="0" fontId="0" fillId="2" borderId="4" xfId="0" applyFill="1" applyBorder="1"/>
    <xf numFmtId="0" fontId="0" fillId="2" borderId="5" xfId="0" applyFill="1" applyBorder="1"/>
    <xf numFmtId="0" fontId="2" fillId="2" borderId="0" xfId="0" applyFont="1" applyFill="1" applyAlignment="1">
      <alignment vertical="center" wrapText="1"/>
    </xf>
    <xf numFmtId="0" fontId="3" fillId="2" borderId="0" xfId="0" applyFont="1" applyFill="1" applyAlignment="1">
      <alignment vertical="center" wrapText="1"/>
    </xf>
    <xf numFmtId="0" fontId="0" fillId="2" borderId="2" xfId="0" applyFill="1" applyBorder="1" applyAlignment="1">
      <alignment horizontal="left"/>
    </xf>
    <xf numFmtId="0" fontId="0" fillId="2" borderId="0" xfId="0" applyFill="1" applyAlignment="1">
      <alignment horizontal="left"/>
    </xf>
    <xf numFmtId="0" fontId="4" fillId="2" borderId="0" xfId="0" applyFont="1" applyFill="1" applyAlignment="1">
      <alignment horizontal="center" vertical="center"/>
    </xf>
    <xf numFmtId="0" fontId="6" fillId="2" borderId="0" xfId="0" applyFont="1" applyFill="1" applyAlignment="1">
      <alignment horizontal="center" vertical="center"/>
    </xf>
    <xf numFmtId="0" fontId="7" fillId="2" borderId="0" xfId="0" applyFont="1" applyFill="1" applyAlignment="1">
      <alignment horizontal="center" vertical="center"/>
    </xf>
    <xf numFmtId="0" fontId="8" fillId="2" borderId="4" xfId="0" applyFont="1" applyFill="1" applyBorder="1" applyAlignment="1">
      <alignment horizontal="center" vertical="center"/>
    </xf>
    <xf numFmtId="0" fontId="9" fillId="3" borderId="10" xfId="0" applyFont="1" applyFill="1" applyBorder="1" applyAlignment="1">
      <alignment horizontal="left" vertical="center" indent="1"/>
    </xf>
    <xf numFmtId="0" fontId="8" fillId="3" borderId="11" xfId="0" applyFont="1" applyFill="1" applyBorder="1" applyAlignment="1">
      <alignment horizontal="center" vertical="center"/>
    </xf>
    <xf numFmtId="0" fontId="8" fillId="3" borderId="12" xfId="0" applyFont="1" applyFill="1" applyBorder="1" applyAlignment="1">
      <alignment horizontal="center" vertical="center"/>
    </xf>
    <xf numFmtId="0" fontId="8" fillId="2" borderId="5" xfId="0" applyFont="1" applyFill="1" applyBorder="1" applyAlignment="1">
      <alignment horizontal="center" vertical="center"/>
    </xf>
    <xf numFmtId="0" fontId="8" fillId="2" borderId="0" xfId="0" applyFont="1" applyFill="1" applyAlignment="1">
      <alignment horizontal="center" vertical="center"/>
    </xf>
    <xf numFmtId="0" fontId="9" fillId="2" borderId="13" xfId="0" applyFont="1" applyFill="1" applyBorder="1" applyAlignment="1">
      <alignment horizontal="left" vertical="center"/>
    </xf>
    <xf numFmtId="0" fontId="8" fillId="2" borderId="14" xfId="0" applyFont="1" applyFill="1" applyBorder="1" applyAlignment="1">
      <alignment horizontal="center" vertical="center"/>
    </xf>
    <xf numFmtId="0" fontId="8" fillId="2" borderId="15" xfId="0" applyFont="1" applyFill="1" applyBorder="1" applyAlignment="1">
      <alignment horizontal="center" vertical="center"/>
    </xf>
    <xf numFmtId="0" fontId="8" fillId="2" borderId="0" xfId="0" applyFont="1" applyFill="1" applyAlignment="1">
      <alignment horizontal="left" vertical="center"/>
    </xf>
    <xf numFmtId="0" fontId="9" fillId="3" borderId="11" xfId="0" applyFont="1" applyFill="1" applyBorder="1" applyAlignment="1">
      <alignment horizontal="center" vertical="center"/>
    </xf>
    <xf numFmtId="0" fontId="9" fillId="3" borderId="12" xfId="0" applyFont="1" applyFill="1" applyBorder="1" applyAlignment="1">
      <alignment horizontal="center" vertical="center"/>
    </xf>
    <xf numFmtId="0" fontId="8" fillId="2" borderId="16" xfId="0" applyFont="1" applyFill="1" applyBorder="1" applyAlignment="1">
      <alignment horizontal="left" vertical="center"/>
    </xf>
    <xf numFmtId="0" fontId="10" fillId="2" borderId="17" xfId="0" applyFont="1" applyFill="1" applyBorder="1" applyAlignment="1">
      <alignment horizontal="left" vertical="center"/>
    </xf>
    <xf numFmtId="0" fontId="8" fillId="2" borderId="13" xfId="0" applyFont="1" applyFill="1" applyBorder="1" applyAlignment="1">
      <alignment horizontal="left" vertical="center"/>
    </xf>
    <xf numFmtId="0" fontId="10" fillId="2" borderId="15" xfId="0" applyFont="1" applyFill="1" applyBorder="1" applyAlignment="1">
      <alignment horizontal="left" vertical="center"/>
    </xf>
    <xf numFmtId="0" fontId="11" fillId="3" borderId="11" xfId="0" applyFont="1" applyFill="1" applyBorder="1" applyAlignment="1">
      <alignment horizontal="center" vertical="center"/>
    </xf>
    <xf numFmtId="0" fontId="11" fillId="3" borderId="12" xfId="0" applyFont="1" applyFill="1" applyBorder="1" applyAlignment="1">
      <alignment horizontal="center" vertical="center"/>
    </xf>
    <xf numFmtId="0" fontId="8" fillId="2" borderId="16" xfId="0" applyFont="1" applyFill="1" applyBorder="1" applyAlignment="1">
      <alignment horizontal="left" vertical="center" indent="1"/>
    </xf>
    <xf numFmtId="0" fontId="8" fillId="2" borderId="17" xfId="0" applyFont="1" applyFill="1" applyBorder="1" applyAlignment="1">
      <alignment horizontal="center" vertical="center"/>
    </xf>
    <xf numFmtId="0" fontId="8" fillId="2" borderId="13" xfId="0" applyFont="1" applyFill="1" applyBorder="1" applyAlignment="1">
      <alignment horizontal="left" vertical="center" indent="1"/>
    </xf>
    <xf numFmtId="0" fontId="8" fillId="2" borderId="0" xfId="0" applyFont="1" applyFill="1" applyAlignment="1">
      <alignment horizontal="left" vertical="center" indent="1"/>
    </xf>
    <xf numFmtId="0" fontId="8" fillId="2" borderId="6" xfId="0" applyFont="1" applyFill="1" applyBorder="1"/>
    <xf numFmtId="0" fontId="8" fillId="2" borderId="7" xfId="0" applyFont="1" applyFill="1" applyBorder="1" applyAlignment="1">
      <alignment horizontal="left"/>
    </xf>
    <xf numFmtId="0" fontId="8" fillId="2" borderId="7" xfId="0" applyFont="1" applyFill="1" applyBorder="1"/>
    <xf numFmtId="0" fontId="8" fillId="2" borderId="8" xfId="0" applyFont="1" applyFill="1" applyBorder="1"/>
    <xf numFmtId="0" fontId="8" fillId="2" borderId="0" xfId="0" applyFont="1" applyFill="1"/>
    <xf numFmtId="0" fontId="8" fillId="2" borderId="0" xfId="0" applyFont="1" applyFill="1" applyAlignment="1">
      <alignment horizontal="left"/>
    </xf>
    <xf numFmtId="0" fontId="13" fillId="2" borderId="0" xfId="0" applyFont="1" applyFill="1" applyAlignment="1">
      <alignment wrapText="1"/>
    </xf>
    <xf numFmtId="167" fontId="8" fillId="2" borderId="13" xfId="0" applyNumberFormat="1" applyFont="1" applyFill="1" applyBorder="1" applyAlignment="1">
      <alignment horizontal="center" vertical="center"/>
    </xf>
    <xf numFmtId="0" fontId="15" fillId="2" borderId="0" xfId="0" applyFont="1" applyFill="1" applyAlignment="1">
      <alignment horizontal="center"/>
    </xf>
    <xf numFmtId="0" fontId="17" fillId="2" borderId="0" xfId="0" applyFont="1" applyFill="1"/>
    <xf numFmtId="0" fontId="17" fillId="2" borderId="0" xfId="0" applyFont="1" applyFill="1" applyAlignment="1">
      <alignment horizontal="left" indent="2"/>
    </xf>
    <xf numFmtId="0" fontId="17" fillId="2" borderId="1" xfId="0" applyFont="1" applyFill="1" applyBorder="1"/>
    <xf numFmtId="165" fontId="17" fillId="2" borderId="0" xfId="0" applyNumberFormat="1" applyFont="1" applyFill="1"/>
    <xf numFmtId="0" fontId="17" fillId="2" borderId="4" xfId="0" applyFont="1" applyFill="1" applyBorder="1"/>
    <xf numFmtId="0" fontId="17" fillId="2" borderId="5" xfId="0" applyFont="1" applyFill="1" applyBorder="1"/>
    <xf numFmtId="9" fontId="17" fillId="2" borderId="0" xfId="2" applyFont="1" applyFill="1" applyBorder="1"/>
    <xf numFmtId="165" fontId="17" fillId="2" borderId="0" xfId="1" applyNumberFormat="1" applyFont="1" applyFill="1" applyBorder="1"/>
    <xf numFmtId="10" fontId="17" fillId="2" borderId="0" xfId="2" applyNumberFormat="1" applyFont="1" applyFill="1"/>
    <xf numFmtId="0" fontId="17" fillId="2" borderId="6" xfId="0" applyFont="1" applyFill="1" applyBorder="1"/>
    <xf numFmtId="0" fontId="17" fillId="2" borderId="7" xfId="0" applyFont="1" applyFill="1" applyBorder="1"/>
    <xf numFmtId="164" fontId="17" fillId="2" borderId="0" xfId="0" applyNumberFormat="1" applyFont="1" applyFill="1"/>
    <xf numFmtId="168" fontId="17" fillId="2" borderId="5" xfId="0" applyNumberFormat="1" applyFont="1" applyFill="1" applyBorder="1"/>
    <xf numFmtId="0" fontId="22" fillId="2" borderId="4" xfId="0" applyFont="1" applyFill="1" applyBorder="1"/>
    <xf numFmtId="0" fontId="23" fillId="2" borderId="4" xfId="0" applyFont="1" applyFill="1" applyBorder="1"/>
    <xf numFmtId="164" fontId="8" fillId="2" borderId="0" xfId="1" applyFont="1" applyFill="1" applyAlignment="1">
      <alignment horizontal="center" vertical="center"/>
    </xf>
    <xf numFmtId="170" fontId="17" fillId="2" borderId="0" xfId="2" applyNumberFormat="1" applyFont="1" applyFill="1"/>
    <xf numFmtId="0" fontId="0" fillId="0" borderId="0" xfId="0" applyAlignment="1">
      <alignment horizontal="left" vertical="center" indent="1"/>
    </xf>
    <xf numFmtId="0" fontId="17" fillId="2" borderId="4" xfId="0" applyFont="1" applyFill="1" applyBorder="1" applyAlignment="1">
      <alignment horizontal="left" indent="1"/>
    </xf>
    <xf numFmtId="0" fontId="12" fillId="2" borderId="4" xfId="0" applyFont="1" applyFill="1" applyBorder="1" applyAlignment="1">
      <alignment horizontal="left" indent="1"/>
    </xf>
    <xf numFmtId="165" fontId="21" fillId="2" borderId="0" xfId="0" applyNumberFormat="1" applyFont="1" applyFill="1" applyAlignment="1">
      <alignment horizontal="center" vertical="center"/>
    </xf>
    <xf numFmtId="168" fontId="17" fillId="2" borderId="0" xfId="0" applyNumberFormat="1" applyFont="1" applyFill="1"/>
    <xf numFmtId="168" fontId="17" fillId="2" borderId="2" xfId="0" applyNumberFormat="1" applyFont="1" applyFill="1" applyBorder="1"/>
    <xf numFmtId="168" fontId="17" fillId="2" borderId="3" xfId="0" applyNumberFormat="1" applyFont="1" applyFill="1" applyBorder="1"/>
    <xf numFmtId="165" fontId="17" fillId="2" borderId="7" xfId="0" applyNumberFormat="1" applyFont="1" applyFill="1" applyBorder="1"/>
    <xf numFmtId="168" fontId="17" fillId="2" borderId="7" xfId="0" applyNumberFormat="1" applyFont="1" applyFill="1" applyBorder="1"/>
    <xf numFmtId="168" fontId="17" fillId="2" borderId="8" xfId="0" applyNumberFormat="1" applyFont="1" applyFill="1" applyBorder="1"/>
    <xf numFmtId="0" fontId="25" fillId="2" borderId="0" xfId="0" applyFont="1" applyFill="1" applyAlignment="1">
      <alignment horizontal="left" indent="1"/>
    </xf>
    <xf numFmtId="2" fontId="17" fillId="2" borderId="0" xfId="2" applyNumberFormat="1" applyFont="1" applyFill="1"/>
    <xf numFmtId="0" fontId="24" fillId="2" borderId="0" xfId="0" applyFont="1" applyFill="1" applyAlignment="1">
      <alignment horizontal="left" vertical="center" indent="1"/>
    </xf>
    <xf numFmtId="0" fontId="0" fillId="2" borderId="0" xfId="0" applyFill="1" applyAlignment="1">
      <alignment horizontal="left" vertical="center" indent="1"/>
    </xf>
    <xf numFmtId="0" fontId="0" fillId="2" borderId="0" xfId="0" applyFill="1" applyAlignment="1">
      <alignment horizontal="left" vertical="center" indent="2"/>
    </xf>
    <xf numFmtId="169" fontId="17" fillId="2" borderId="0" xfId="0" applyNumberFormat="1" applyFont="1" applyFill="1"/>
    <xf numFmtId="0" fontId="23" fillId="2" borderId="0" xfId="0" applyFont="1" applyFill="1"/>
    <xf numFmtId="165" fontId="21" fillId="2" borderId="0" xfId="1" applyNumberFormat="1" applyFont="1" applyFill="1" applyBorder="1" applyAlignment="1">
      <alignment horizontal="center" vertical="center"/>
    </xf>
    <xf numFmtId="0" fontId="22" fillId="2" borderId="0" xfId="0" applyFont="1" applyFill="1"/>
    <xf numFmtId="170" fontId="26" fillId="2" borderId="0" xfId="2" applyNumberFormat="1" applyFont="1" applyFill="1" applyBorder="1" applyAlignment="1">
      <alignment horizontal="center"/>
    </xf>
    <xf numFmtId="0" fontId="17" fillId="5" borderId="1" xfId="0" applyFont="1" applyFill="1" applyBorder="1"/>
    <xf numFmtId="0" fontId="17" fillId="5" borderId="2" xfId="0" applyFont="1" applyFill="1" applyBorder="1"/>
    <xf numFmtId="0" fontId="19" fillId="5" borderId="2" xfId="0" applyFont="1" applyFill="1" applyBorder="1"/>
    <xf numFmtId="0" fontId="17" fillId="5" borderId="3" xfId="0" applyFont="1" applyFill="1" applyBorder="1"/>
    <xf numFmtId="169" fontId="17" fillId="2" borderId="5" xfId="0" applyNumberFormat="1" applyFont="1" applyFill="1" applyBorder="1"/>
    <xf numFmtId="165" fontId="17" fillId="2" borderId="5" xfId="1" applyNumberFormat="1" applyFont="1" applyFill="1" applyBorder="1"/>
    <xf numFmtId="165" fontId="17" fillId="2" borderId="5" xfId="0" applyNumberFormat="1" applyFont="1" applyFill="1" applyBorder="1"/>
    <xf numFmtId="165" fontId="21" fillId="2" borderId="5" xfId="1" applyNumberFormat="1" applyFont="1" applyFill="1" applyBorder="1" applyAlignment="1">
      <alignment horizontal="center" vertical="center"/>
    </xf>
    <xf numFmtId="170" fontId="26" fillId="2" borderId="5" xfId="2" applyNumberFormat="1" applyFont="1" applyFill="1" applyBorder="1" applyAlignment="1">
      <alignment horizontal="center"/>
    </xf>
    <xf numFmtId="0" fontId="12" fillId="2" borderId="6" xfId="0" applyFont="1" applyFill="1" applyBorder="1" applyAlignment="1">
      <alignment horizontal="left" indent="1"/>
    </xf>
    <xf numFmtId="170" fontId="26" fillId="2" borderId="7" xfId="2" applyNumberFormat="1" applyFont="1" applyFill="1" applyBorder="1" applyAlignment="1">
      <alignment horizontal="center"/>
    </xf>
    <xf numFmtId="170" fontId="26" fillId="2" borderId="8" xfId="2" applyNumberFormat="1" applyFont="1" applyFill="1" applyBorder="1" applyAlignment="1">
      <alignment horizontal="center"/>
    </xf>
    <xf numFmtId="0" fontId="20" fillId="5" borderId="1" xfId="0" applyFont="1" applyFill="1" applyBorder="1" applyAlignment="1">
      <alignment horizontal="left"/>
    </xf>
    <xf numFmtId="0" fontId="20" fillId="5" borderId="3" xfId="0" applyFont="1" applyFill="1" applyBorder="1"/>
    <xf numFmtId="0" fontId="17" fillId="2" borderId="4" xfId="0" applyFont="1" applyFill="1" applyBorder="1" applyAlignment="1">
      <alignment horizontal="left" indent="3"/>
    </xf>
    <xf numFmtId="0" fontId="21" fillId="2" borderId="5" xfId="0" applyFont="1" applyFill="1" applyBorder="1" applyAlignment="1">
      <alignment horizontal="center" vertical="center"/>
    </xf>
    <xf numFmtId="165" fontId="21" fillId="2" borderId="5" xfId="0" applyNumberFormat="1" applyFont="1" applyFill="1" applyBorder="1" applyAlignment="1">
      <alignment horizontal="center" vertical="center"/>
    </xf>
    <xf numFmtId="0" fontId="17" fillId="2" borderId="4" xfId="0" applyFont="1" applyFill="1" applyBorder="1" applyAlignment="1">
      <alignment horizontal="left" indent="2"/>
    </xf>
    <xf numFmtId="9" fontId="17" fillId="2" borderId="5" xfId="0" applyNumberFormat="1" applyFont="1" applyFill="1" applyBorder="1"/>
    <xf numFmtId="168" fontId="17" fillId="2" borderId="5" xfId="0" applyNumberFormat="1" applyFont="1" applyFill="1" applyBorder="1" applyAlignment="1">
      <alignment horizontal="center"/>
    </xf>
    <xf numFmtId="0" fontId="17" fillId="2" borderId="6" xfId="0" applyFont="1" applyFill="1" applyBorder="1" applyAlignment="1">
      <alignment horizontal="left" indent="1"/>
    </xf>
    <xf numFmtId="171" fontId="17" fillId="2" borderId="5" xfId="0" applyNumberFormat="1" applyFont="1" applyFill="1" applyBorder="1" applyAlignment="1">
      <alignment horizontal="left" indent="2"/>
    </xf>
    <xf numFmtId="165" fontId="17" fillId="2" borderId="2" xfId="0" applyNumberFormat="1" applyFont="1" applyFill="1" applyBorder="1"/>
    <xf numFmtId="0" fontId="17" fillId="2" borderId="0" xfId="0" applyFont="1" applyFill="1" applyAlignment="1">
      <alignment horizontal="center"/>
    </xf>
    <xf numFmtId="0" fontId="17" fillId="2" borderId="5" xfId="0" applyFont="1" applyFill="1" applyBorder="1" applyAlignment="1">
      <alignment horizontal="center"/>
    </xf>
    <xf numFmtId="166" fontId="17" fillId="2" borderId="0" xfId="4" applyNumberFormat="1" applyFont="1" applyFill="1" applyBorder="1" applyAlignment="1">
      <alignment horizontal="center" vertical="center"/>
    </xf>
    <xf numFmtId="166" fontId="17" fillId="2" borderId="5" xfId="4" applyNumberFormat="1" applyFont="1" applyFill="1" applyBorder="1" applyAlignment="1">
      <alignment horizontal="center" vertical="center"/>
    </xf>
    <xf numFmtId="166" fontId="18" fillId="2" borderId="0" xfId="0" applyNumberFormat="1" applyFont="1" applyFill="1" applyAlignment="1">
      <alignment horizontal="center" vertical="center"/>
    </xf>
    <xf numFmtId="166" fontId="18" fillId="2" borderId="5" xfId="0" applyNumberFormat="1" applyFont="1" applyFill="1" applyBorder="1" applyAlignment="1">
      <alignment horizontal="center" vertical="center"/>
    </xf>
    <xf numFmtId="0" fontId="27" fillId="2" borderId="0" xfId="5" applyFill="1" applyAlignment="1">
      <alignment horizontal="center" vertical="center"/>
    </xf>
    <xf numFmtId="0" fontId="27" fillId="0" borderId="14" xfId="5" applyBorder="1" applyAlignment="1">
      <alignment horizontal="center"/>
    </xf>
    <xf numFmtId="0" fontId="8" fillId="6" borderId="9" xfId="3" applyNumberFormat="1" applyFill="1" applyAlignment="1">
      <alignment horizontal="center"/>
    </xf>
    <xf numFmtId="0" fontId="7" fillId="7" borderId="0" xfId="0" applyFont="1" applyFill="1" applyAlignment="1">
      <alignment horizontal="center" vertical="center"/>
    </xf>
    <xf numFmtId="0" fontId="21" fillId="7" borderId="5" xfId="0" applyFont="1" applyFill="1" applyBorder="1" applyAlignment="1">
      <alignment horizontal="center" vertical="center"/>
    </xf>
    <xf numFmtId="165" fontId="21" fillId="7" borderId="5" xfId="0" applyNumberFormat="1" applyFont="1" applyFill="1" applyBorder="1" applyAlignment="1">
      <alignment horizontal="center" vertical="center"/>
    </xf>
    <xf numFmtId="9" fontId="21" fillId="7" borderId="5" xfId="0" applyNumberFormat="1" applyFont="1" applyFill="1" applyBorder="1" applyAlignment="1">
      <alignment horizontal="center" vertical="center"/>
    </xf>
    <xf numFmtId="9" fontId="21" fillId="7" borderId="8" xfId="0" applyNumberFormat="1" applyFont="1" applyFill="1" applyBorder="1" applyAlignment="1">
      <alignment horizontal="center" vertical="center"/>
    </xf>
    <xf numFmtId="0" fontId="17" fillId="6" borderId="18" xfId="3" applyNumberFormat="1" applyFont="1" applyFill="1" applyBorder="1" applyAlignment="1">
      <alignment horizontal="center"/>
    </xf>
    <xf numFmtId="165" fontId="21" fillId="7" borderId="0" xfId="1" applyNumberFormat="1" applyFont="1" applyFill="1" applyBorder="1" applyAlignment="1">
      <alignment horizontal="center" vertical="center"/>
    </xf>
    <xf numFmtId="165" fontId="21" fillId="7" borderId="5" xfId="1" applyNumberFormat="1" applyFont="1" applyFill="1" applyBorder="1" applyAlignment="1">
      <alignment horizontal="center" vertical="center"/>
    </xf>
    <xf numFmtId="0" fontId="21" fillId="7" borderId="0" xfId="0" applyFont="1" applyFill="1" applyAlignment="1">
      <alignment horizontal="center" vertical="center"/>
    </xf>
    <xf numFmtId="9" fontId="21" fillId="7" borderId="0" xfId="0" applyNumberFormat="1" applyFont="1" applyFill="1" applyAlignment="1">
      <alignment horizontal="center" vertical="center"/>
    </xf>
    <xf numFmtId="0" fontId="28" fillId="5" borderId="1" xfId="0" applyFont="1" applyFill="1" applyBorder="1" applyAlignment="1">
      <alignment horizontal="left"/>
    </xf>
    <xf numFmtId="0" fontId="28" fillId="5" borderId="3" xfId="0" applyFont="1" applyFill="1" applyBorder="1" applyAlignment="1">
      <alignment horizontal="center"/>
    </xf>
    <xf numFmtId="0" fontId="0" fillId="2" borderId="5" xfId="0" applyFill="1" applyBorder="1" applyAlignment="1">
      <alignment wrapText="1"/>
    </xf>
    <xf numFmtId="0" fontId="0" fillId="2" borderId="6" xfId="0" applyFill="1" applyBorder="1"/>
    <xf numFmtId="0" fontId="0" fillId="2" borderId="8" xfId="0" applyFill="1" applyBorder="1"/>
    <xf numFmtId="0" fontId="12" fillId="2" borderId="13" xfId="0" applyFont="1" applyFill="1" applyBorder="1" applyAlignment="1">
      <alignment horizontal="left" vertical="center" wrapText="1"/>
    </xf>
    <xf numFmtId="0" fontId="12" fillId="2" borderId="14" xfId="0" applyFont="1" applyFill="1" applyBorder="1" applyAlignment="1">
      <alignment horizontal="left" vertical="center" wrapText="1"/>
    </xf>
    <xf numFmtId="0" fontId="12" fillId="2" borderId="15" xfId="0" applyFont="1" applyFill="1" applyBorder="1" applyAlignment="1">
      <alignment horizontal="left" vertical="center" wrapText="1"/>
    </xf>
    <xf numFmtId="172" fontId="17" fillId="2" borderId="5" xfId="0" applyNumberFormat="1" applyFont="1" applyFill="1" applyBorder="1" applyAlignment="1">
      <alignment horizontal="center"/>
    </xf>
    <xf numFmtId="9" fontId="17" fillId="2" borderId="8" xfId="0" applyNumberFormat="1" applyFont="1" applyFill="1" applyBorder="1" applyAlignment="1">
      <alignment horizontal="center"/>
    </xf>
  </cellXfs>
  <cellStyles count="6">
    <cellStyle name="Comma" xfId="4" builtinId="3"/>
    <cellStyle name="Currency" xfId="1" builtinId="4"/>
    <cellStyle name="Dropdown List" xfId="3" xr:uid="{FC7BFB4C-28B7-43F1-9AF2-0B9D9F46E261}"/>
    <cellStyle name="Hyperlink" xfId="5" builtinId="8"/>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2013 - 2022 Theme">
  <a:themeElements>
    <a:clrScheme name="XpertHost">
      <a:dk1>
        <a:sysClr val="windowText" lastClr="000000"/>
      </a:dk1>
      <a:lt1>
        <a:sysClr val="window" lastClr="FFFFFF"/>
      </a:lt1>
      <a:dk2>
        <a:srgbClr val="2B0E3C"/>
      </a:dk2>
      <a:lt2>
        <a:srgbClr val="CCBFA3"/>
      </a:lt2>
      <a:accent1>
        <a:srgbClr val="5D5D5D"/>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EF84BA-3B5A-48AD-BAA1-27CB376F3BD4}">
  <dimension ref="B1:I35"/>
  <sheetViews>
    <sheetView zoomScale="90" zoomScaleNormal="90" workbookViewId="0">
      <selection activeCell="H4" sqref="H4"/>
    </sheetView>
  </sheetViews>
  <sheetFormatPr defaultRowHeight="15.5" x14ac:dyDescent="0.35"/>
  <cols>
    <col min="1" max="1" width="1.58203125" style="1" customWidth="1"/>
    <col min="2" max="2" width="1.5" style="1" customWidth="1"/>
    <col min="3" max="3" width="18.83203125" style="10" bestFit="1" customWidth="1"/>
    <col min="4" max="4" width="103.5" style="1" customWidth="1"/>
    <col min="5" max="5" width="16.6640625" style="1" customWidth="1"/>
    <col min="6" max="6" width="1.58203125" style="1" customWidth="1"/>
    <col min="7" max="7" width="8.6640625" style="1"/>
    <col min="8" max="8" width="105.25" style="1" customWidth="1"/>
    <col min="9" max="9" width="12.83203125" style="1" bestFit="1" customWidth="1"/>
    <col min="10" max="16384" width="8.6640625" style="1"/>
  </cols>
  <sheetData>
    <row r="1" spans="2:9" ht="9.5" customHeight="1" thickBot="1" x14ac:dyDescent="0.4">
      <c r="C1" s="7"/>
      <c r="D1" s="8"/>
    </row>
    <row r="2" spans="2:9" ht="4.5" customHeight="1" x14ac:dyDescent="0.35">
      <c r="B2" s="2"/>
      <c r="C2" s="9"/>
      <c r="D2" s="3"/>
      <c r="E2" s="3"/>
      <c r="F2" s="4"/>
    </row>
    <row r="3" spans="2:9" ht="37.5" x14ac:dyDescent="0.35">
      <c r="B3" s="5"/>
      <c r="D3" s="11" t="s">
        <v>10</v>
      </c>
      <c r="F3" s="6"/>
    </row>
    <row r="4" spans="2:9" x14ac:dyDescent="0.35">
      <c r="B4" s="5"/>
      <c r="D4" s="12" t="s">
        <v>11</v>
      </c>
      <c r="F4" s="6"/>
    </row>
    <row r="5" spans="2:9" x14ac:dyDescent="0.35">
      <c r="B5" s="5"/>
      <c r="D5" s="13" t="s">
        <v>12</v>
      </c>
      <c r="F5" s="6"/>
    </row>
    <row r="6" spans="2:9" ht="4.5" customHeight="1" x14ac:dyDescent="0.35">
      <c r="B6" s="5"/>
      <c r="F6" s="6"/>
    </row>
    <row r="7" spans="2:9" s="19" customFormat="1" ht="14" x14ac:dyDescent="0.35">
      <c r="B7" s="14"/>
      <c r="C7" s="15" t="s">
        <v>13</v>
      </c>
      <c r="D7" s="16"/>
      <c r="E7" s="17"/>
      <c r="F7" s="18"/>
    </row>
    <row r="8" spans="2:9" s="19" customFormat="1" ht="14" x14ac:dyDescent="0.35">
      <c r="B8" s="14"/>
      <c r="C8" s="20"/>
      <c r="D8" s="21" t="s">
        <v>26</v>
      </c>
      <c r="E8" s="22"/>
      <c r="F8" s="18"/>
    </row>
    <row r="9" spans="2:9" s="19" customFormat="1" ht="14" x14ac:dyDescent="0.35">
      <c r="B9" s="14"/>
      <c r="C9" s="23"/>
      <c r="F9" s="18"/>
    </row>
    <row r="10" spans="2:9" s="19" customFormat="1" ht="14" x14ac:dyDescent="0.35">
      <c r="B10" s="14"/>
      <c r="C10" s="15" t="s">
        <v>14</v>
      </c>
      <c r="D10" s="16"/>
      <c r="E10" s="17"/>
      <c r="F10" s="18"/>
      <c r="I10" s="60"/>
    </row>
    <row r="11" spans="2:9" s="19" customFormat="1" ht="14" x14ac:dyDescent="0.35">
      <c r="B11" s="14"/>
      <c r="C11" s="43">
        <v>45621</v>
      </c>
      <c r="D11" s="21">
        <v>1</v>
      </c>
      <c r="E11" s="22"/>
      <c r="F11" s="18"/>
    </row>
    <row r="12" spans="2:9" s="19" customFormat="1" ht="14" x14ac:dyDescent="0.35">
      <c r="B12" s="14"/>
      <c r="C12" s="23"/>
      <c r="F12" s="18"/>
    </row>
    <row r="13" spans="2:9" s="19" customFormat="1" ht="14" x14ac:dyDescent="0.35">
      <c r="B13" s="14"/>
      <c r="C13" s="15" t="s">
        <v>15</v>
      </c>
      <c r="D13" s="24"/>
      <c r="E13" s="25"/>
      <c r="F13" s="18"/>
    </row>
    <row r="14" spans="2:9" s="19" customFormat="1" ht="14" x14ac:dyDescent="0.35">
      <c r="B14" s="14"/>
      <c r="C14" s="26"/>
      <c r="D14" s="19" t="s">
        <v>27</v>
      </c>
      <c r="E14" s="27" t="s">
        <v>16</v>
      </c>
      <c r="F14" s="18"/>
    </row>
    <row r="15" spans="2:9" s="19" customFormat="1" ht="14" x14ac:dyDescent="0.35">
      <c r="B15" s="14"/>
      <c r="C15" s="26"/>
      <c r="D15" s="19" t="s">
        <v>28</v>
      </c>
      <c r="E15" s="27" t="s">
        <v>16</v>
      </c>
      <c r="F15" s="18"/>
    </row>
    <row r="16" spans="2:9" s="19" customFormat="1" ht="14" x14ac:dyDescent="0.35">
      <c r="B16" s="14"/>
      <c r="C16" s="26"/>
      <c r="D16" s="19" t="s">
        <v>30</v>
      </c>
      <c r="E16" s="27" t="s">
        <v>16</v>
      </c>
      <c r="F16" s="18"/>
    </row>
    <row r="17" spans="2:6" s="19" customFormat="1" ht="14" x14ac:dyDescent="0.35">
      <c r="B17" s="14"/>
      <c r="C17" s="26"/>
      <c r="D17" s="19" t="s">
        <v>31</v>
      </c>
      <c r="E17" s="27" t="s">
        <v>16</v>
      </c>
      <c r="F17" s="18"/>
    </row>
    <row r="18" spans="2:6" s="19" customFormat="1" ht="14" x14ac:dyDescent="0.35">
      <c r="B18" s="14"/>
      <c r="C18" s="26"/>
      <c r="D18" s="19" t="s">
        <v>32</v>
      </c>
      <c r="E18" s="27" t="s">
        <v>16</v>
      </c>
      <c r="F18" s="18"/>
    </row>
    <row r="19" spans="2:6" s="19" customFormat="1" ht="14" x14ac:dyDescent="0.35">
      <c r="B19" s="14"/>
      <c r="C19" s="26"/>
      <c r="D19" s="19" t="s">
        <v>29</v>
      </c>
      <c r="E19" s="27" t="s">
        <v>16</v>
      </c>
      <c r="F19" s="18"/>
    </row>
    <row r="20" spans="2:6" s="19" customFormat="1" ht="14" x14ac:dyDescent="0.35">
      <c r="B20" s="14"/>
      <c r="C20" s="26"/>
      <c r="D20" s="19" t="s">
        <v>33</v>
      </c>
      <c r="E20" s="27" t="s">
        <v>16</v>
      </c>
      <c r="F20" s="18"/>
    </row>
    <row r="21" spans="2:6" s="19" customFormat="1" x14ac:dyDescent="0.35">
      <c r="B21" s="14"/>
      <c r="C21" s="26"/>
      <c r="D21" s="111" t="s">
        <v>34</v>
      </c>
      <c r="E21" s="27" t="s">
        <v>17</v>
      </c>
      <c r="F21" s="18"/>
    </row>
    <row r="22" spans="2:6" s="19" customFormat="1" x14ac:dyDescent="0.35">
      <c r="B22" s="14"/>
      <c r="C22" s="28"/>
      <c r="D22" s="112" t="s">
        <v>35</v>
      </c>
      <c r="E22" s="29" t="s">
        <v>17</v>
      </c>
      <c r="F22" s="18"/>
    </row>
    <row r="23" spans="2:6" s="19" customFormat="1" ht="14" x14ac:dyDescent="0.35">
      <c r="B23" s="14"/>
      <c r="C23" s="23"/>
      <c r="F23" s="18"/>
    </row>
    <row r="24" spans="2:6" s="19" customFormat="1" ht="14" x14ac:dyDescent="0.35">
      <c r="B24" s="14"/>
      <c r="C24" s="15" t="s">
        <v>18</v>
      </c>
      <c r="D24" s="30"/>
      <c r="E24" s="31"/>
      <c r="F24" s="18"/>
    </row>
    <row r="25" spans="2:6" s="19" customFormat="1" ht="14" x14ac:dyDescent="0.35">
      <c r="B25" s="14"/>
      <c r="C25" s="32" t="s">
        <v>19</v>
      </c>
      <c r="D25" s="114" t="s">
        <v>20</v>
      </c>
      <c r="E25" s="33"/>
      <c r="F25" s="18"/>
    </row>
    <row r="26" spans="2:6" s="19" customFormat="1" ht="14" x14ac:dyDescent="0.3">
      <c r="B26" s="14"/>
      <c r="C26" s="32" t="s">
        <v>42</v>
      </c>
      <c r="D26" s="113" t="s">
        <v>43</v>
      </c>
      <c r="E26" s="33"/>
      <c r="F26" s="18"/>
    </row>
    <row r="27" spans="2:6" s="19" customFormat="1" ht="14" x14ac:dyDescent="0.35">
      <c r="B27" s="14"/>
      <c r="C27" s="34" t="s">
        <v>21</v>
      </c>
      <c r="D27" s="21" t="s">
        <v>22</v>
      </c>
      <c r="E27" s="22"/>
      <c r="F27" s="18"/>
    </row>
    <row r="28" spans="2:6" s="19" customFormat="1" ht="14" x14ac:dyDescent="0.35">
      <c r="B28" s="14"/>
      <c r="C28" s="35"/>
      <c r="F28" s="18"/>
    </row>
    <row r="29" spans="2:6" s="19" customFormat="1" ht="14" x14ac:dyDescent="0.35">
      <c r="B29" s="14"/>
      <c r="C29" s="15" t="s">
        <v>23</v>
      </c>
      <c r="D29" s="24"/>
      <c r="E29" s="25"/>
      <c r="F29" s="18"/>
    </row>
    <row r="30" spans="2:6" s="19" customFormat="1" ht="105.5" customHeight="1" x14ac:dyDescent="0.35">
      <c r="B30" s="14"/>
      <c r="C30" s="129" t="s">
        <v>24</v>
      </c>
      <c r="D30" s="130"/>
      <c r="E30" s="131"/>
      <c r="F30" s="18"/>
    </row>
    <row r="31" spans="2:6" s="40" customFormat="1" ht="14.5" thickBot="1" x14ac:dyDescent="0.35">
      <c r="B31" s="36"/>
      <c r="C31" s="37"/>
      <c r="D31" s="38"/>
      <c r="E31" s="38"/>
      <c r="F31" s="39"/>
    </row>
    <row r="32" spans="2:6" s="40" customFormat="1" ht="66" customHeight="1" x14ac:dyDescent="0.3">
      <c r="C32" s="41"/>
      <c r="D32" s="42" t="s">
        <v>25</v>
      </c>
    </row>
    <row r="33" spans="3:3" s="40" customFormat="1" ht="14" x14ac:dyDescent="0.3">
      <c r="C33" s="41"/>
    </row>
    <row r="34" spans="3:3" s="40" customFormat="1" ht="14" x14ac:dyDescent="0.3">
      <c r="C34" s="41"/>
    </row>
    <row r="35" spans="3:3" s="40" customFormat="1" ht="14" x14ac:dyDescent="0.3">
      <c r="C35" s="41"/>
    </row>
  </sheetData>
  <mergeCells count="1">
    <mergeCell ref="C30:E30"/>
  </mergeCells>
  <hyperlinks>
    <hyperlink ref="D21" location="'Cash Flow Projection - Basic'!A1" display="Cash Flow Projection (Basic)" xr:uid="{B9F1BAD3-45E3-44E1-8CFD-A143469A5DB9}"/>
    <hyperlink ref="D22" location="Glossary!A1" display="Glossary" xr:uid="{B0802011-90DA-41C9-A0F8-50B56113C37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6BE3FC-D6A5-F045-A172-C10322839410}">
  <dimension ref="B1:R81"/>
  <sheetViews>
    <sheetView tabSelected="1" topLeftCell="A9" zoomScaleNormal="100" workbookViewId="0">
      <selection activeCell="C29" sqref="C29"/>
    </sheetView>
  </sheetViews>
  <sheetFormatPr defaultColWidth="10.6640625" defaultRowHeight="15.5" x14ac:dyDescent="0.35"/>
  <cols>
    <col min="1" max="1" width="1.6640625" style="1" customWidth="1"/>
    <col min="2" max="2" width="35.08203125" style="1" customWidth="1"/>
    <col min="3" max="3" width="15" style="1" bestFit="1" customWidth="1"/>
    <col min="4" max="4" width="10.6640625" style="1"/>
    <col min="5" max="5" width="29.5" style="45" bestFit="1" customWidth="1"/>
    <col min="6" max="6" width="29.5" style="45" customWidth="1"/>
    <col min="7" max="7" width="15" style="45" bestFit="1" customWidth="1"/>
    <col min="8" max="8" width="14.08203125" style="45" bestFit="1" customWidth="1"/>
    <col min="9" max="9" width="24.33203125" style="45" bestFit="1" customWidth="1"/>
    <col min="10" max="16" width="14" style="45" bestFit="1" customWidth="1"/>
    <col min="17" max="16384" width="10.6640625" style="1"/>
  </cols>
  <sheetData>
    <row r="1" spans="2:16" ht="43" thickBot="1" x14ac:dyDescent="1.1499999999999999">
      <c r="B1" s="44" t="s">
        <v>122</v>
      </c>
    </row>
    <row r="2" spans="2:16" s="45" customFormat="1" x14ac:dyDescent="0.35">
      <c r="B2" s="94" t="s">
        <v>0</v>
      </c>
      <c r="C2" s="95"/>
      <c r="E2" s="82"/>
      <c r="F2" s="83"/>
      <c r="G2" s="83"/>
      <c r="H2" s="83"/>
      <c r="I2" s="84" t="s">
        <v>113</v>
      </c>
      <c r="J2" s="83"/>
      <c r="K2" s="83"/>
      <c r="L2" s="83"/>
      <c r="M2" s="83"/>
      <c r="N2" s="83"/>
      <c r="O2" s="83"/>
      <c r="P2" s="85"/>
    </row>
    <row r="3" spans="2:16" s="45" customFormat="1" x14ac:dyDescent="0.35">
      <c r="B3" s="63" t="s">
        <v>102</v>
      </c>
      <c r="C3" s="101">
        <f>EOMONTH(DATE(C5,C4,1),0)</f>
        <v>45930</v>
      </c>
      <c r="E3" s="49"/>
      <c r="F3" s="77">
        <f>G3-1</f>
        <v>0</v>
      </c>
      <c r="G3" s="77">
        <v>1</v>
      </c>
      <c r="H3" s="77">
        <v>2</v>
      </c>
      <c r="I3" s="77">
        <v>3</v>
      </c>
      <c r="J3" s="77">
        <v>4</v>
      </c>
      <c r="K3" s="77">
        <v>5</v>
      </c>
      <c r="L3" s="77">
        <v>6</v>
      </c>
      <c r="M3" s="77">
        <v>7</v>
      </c>
      <c r="N3" s="77">
        <v>8</v>
      </c>
      <c r="O3" s="77">
        <v>9</v>
      </c>
      <c r="P3" s="86">
        <v>10</v>
      </c>
    </row>
    <row r="4" spans="2:16" s="45" customFormat="1" x14ac:dyDescent="0.35">
      <c r="B4" s="96" t="s">
        <v>41</v>
      </c>
      <c r="C4" s="119">
        <v>9</v>
      </c>
      <c r="E4" s="49" t="s">
        <v>40</v>
      </c>
      <c r="G4" s="66">
        <f>C3</f>
        <v>45930</v>
      </c>
      <c r="H4" s="66">
        <f>G5</f>
        <v>46295</v>
      </c>
      <c r="I4" s="66">
        <f t="shared" ref="I4:P4" si="0">H5</f>
        <v>46660</v>
      </c>
      <c r="J4" s="66">
        <f t="shared" si="0"/>
        <v>47026</v>
      </c>
      <c r="K4" s="66">
        <f t="shared" si="0"/>
        <v>47391</v>
      </c>
      <c r="L4" s="66">
        <f t="shared" si="0"/>
        <v>47756</v>
      </c>
      <c r="M4" s="66">
        <f t="shared" si="0"/>
        <v>48121</v>
      </c>
      <c r="N4" s="66">
        <f t="shared" si="0"/>
        <v>48487</v>
      </c>
      <c r="O4" s="66">
        <f t="shared" si="0"/>
        <v>48852</v>
      </c>
      <c r="P4" s="57">
        <f t="shared" si="0"/>
        <v>49217</v>
      </c>
    </row>
    <row r="5" spans="2:16" s="45" customFormat="1" x14ac:dyDescent="0.35">
      <c r="B5" s="96" t="s">
        <v>1</v>
      </c>
      <c r="C5" s="115">
        <v>2025</v>
      </c>
      <c r="E5" s="49" t="s">
        <v>44</v>
      </c>
      <c r="G5" s="66">
        <f>EOMONTH(G4,12)</f>
        <v>46295</v>
      </c>
      <c r="H5" s="66">
        <f>EOMONTH(H4,12)</f>
        <v>46660</v>
      </c>
      <c r="I5" s="66">
        <f t="shared" ref="I5:P5" si="1">EOMONTH(I4,12)</f>
        <v>47026</v>
      </c>
      <c r="J5" s="66">
        <f t="shared" si="1"/>
        <v>47391</v>
      </c>
      <c r="K5" s="66">
        <f t="shared" si="1"/>
        <v>47756</v>
      </c>
      <c r="L5" s="66">
        <f t="shared" si="1"/>
        <v>48121</v>
      </c>
      <c r="M5" s="66">
        <f t="shared" si="1"/>
        <v>48487</v>
      </c>
      <c r="N5" s="66">
        <f t="shared" si="1"/>
        <v>48852</v>
      </c>
      <c r="O5" s="66">
        <f t="shared" si="1"/>
        <v>49217</v>
      </c>
      <c r="P5" s="57">
        <f t="shared" si="1"/>
        <v>49582</v>
      </c>
    </row>
    <row r="6" spans="2:16" s="45" customFormat="1" ht="16" thickBot="1" x14ac:dyDescent="0.4">
      <c r="B6" s="96"/>
      <c r="C6" s="97"/>
      <c r="E6" s="49"/>
      <c r="G6" s="66"/>
      <c r="H6" s="66"/>
      <c r="I6" s="66"/>
      <c r="J6" s="66"/>
      <c r="K6" s="66"/>
      <c r="L6" s="66"/>
      <c r="M6" s="66"/>
      <c r="N6" s="66"/>
      <c r="O6" s="66"/>
      <c r="P6" s="57"/>
    </row>
    <row r="7" spans="2:16" s="45" customFormat="1" x14ac:dyDescent="0.35">
      <c r="B7" s="63" t="s">
        <v>114</v>
      </c>
      <c r="C7" s="98">
        <f>SUM(C8:C9)</f>
        <v>20200000</v>
      </c>
      <c r="E7" s="47" t="s">
        <v>82</v>
      </c>
      <c r="F7" s="104">
        <f>-C8</f>
        <v>-20000000</v>
      </c>
      <c r="G7" s="67"/>
      <c r="H7" s="67"/>
      <c r="I7" s="67"/>
      <c r="J7" s="67"/>
      <c r="K7" s="67"/>
      <c r="L7" s="67"/>
      <c r="M7" s="67"/>
      <c r="N7" s="67"/>
      <c r="O7" s="67"/>
      <c r="P7" s="68"/>
    </row>
    <row r="8" spans="2:16" s="45" customFormat="1" ht="16" thickBot="1" x14ac:dyDescent="0.4">
      <c r="B8" s="99" t="s">
        <v>82</v>
      </c>
      <c r="C8" s="116">
        <v>20000000</v>
      </c>
      <c r="E8" s="54" t="s">
        <v>99</v>
      </c>
      <c r="F8" s="69">
        <f>-C9</f>
        <v>-200000</v>
      </c>
      <c r="G8" s="70"/>
      <c r="H8" s="70"/>
      <c r="I8" s="70"/>
      <c r="J8" s="70"/>
      <c r="K8" s="70"/>
      <c r="L8" s="70"/>
      <c r="M8" s="70"/>
      <c r="N8" s="70"/>
      <c r="O8" s="70"/>
      <c r="P8" s="71"/>
    </row>
    <row r="9" spans="2:16" s="45" customFormat="1" x14ac:dyDescent="0.35">
      <c r="B9" s="99" t="s">
        <v>99</v>
      </c>
      <c r="C9" s="116">
        <v>200000</v>
      </c>
      <c r="E9" s="49"/>
      <c r="F9" s="48"/>
      <c r="G9" s="66"/>
      <c r="H9" s="66"/>
      <c r="I9" s="66"/>
      <c r="J9" s="66"/>
      <c r="K9" s="66"/>
      <c r="L9" s="66"/>
      <c r="M9" s="66"/>
      <c r="N9" s="66"/>
      <c r="O9" s="66"/>
      <c r="P9" s="57"/>
    </row>
    <row r="10" spans="2:16" s="45" customFormat="1" x14ac:dyDescent="0.35">
      <c r="B10" s="63"/>
      <c r="C10" s="98"/>
      <c r="E10" s="49" t="s">
        <v>45</v>
      </c>
      <c r="G10" s="105">
        <f t="shared" ref="G10:P10" si="2">_xlfn.DAYS(G5,G4)</f>
        <v>365</v>
      </c>
      <c r="H10" s="105">
        <f t="shared" si="2"/>
        <v>365</v>
      </c>
      <c r="I10" s="105">
        <f t="shared" si="2"/>
        <v>366</v>
      </c>
      <c r="J10" s="105">
        <f t="shared" si="2"/>
        <v>365</v>
      </c>
      <c r="K10" s="105">
        <f t="shared" si="2"/>
        <v>365</v>
      </c>
      <c r="L10" s="105">
        <f t="shared" si="2"/>
        <v>365</v>
      </c>
      <c r="M10" s="105">
        <f t="shared" si="2"/>
        <v>366</v>
      </c>
      <c r="N10" s="105">
        <f t="shared" si="2"/>
        <v>365</v>
      </c>
      <c r="O10" s="105">
        <f t="shared" si="2"/>
        <v>365</v>
      </c>
      <c r="P10" s="106">
        <f t="shared" si="2"/>
        <v>365</v>
      </c>
    </row>
    <row r="11" spans="2:16" s="45" customFormat="1" x14ac:dyDescent="0.35">
      <c r="B11" s="63" t="s">
        <v>95</v>
      </c>
      <c r="C11" s="117">
        <v>0.65</v>
      </c>
      <c r="E11" s="49" t="s">
        <v>75</v>
      </c>
      <c r="G11" s="122">
        <v>150</v>
      </c>
      <c r="H11" s="122">
        <v>150</v>
      </c>
      <c r="I11" s="122">
        <v>150</v>
      </c>
      <c r="J11" s="122">
        <v>150</v>
      </c>
      <c r="K11" s="122">
        <v>150</v>
      </c>
      <c r="L11" s="122">
        <v>150</v>
      </c>
      <c r="M11" s="122">
        <v>150</v>
      </c>
      <c r="N11" s="122">
        <v>150</v>
      </c>
      <c r="O11" s="122">
        <v>150</v>
      </c>
      <c r="P11" s="115">
        <v>150</v>
      </c>
    </row>
    <row r="12" spans="2:16" s="45" customFormat="1" x14ac:dyDescent="0.35">
      <c r="B12" s="63" t="s">
        <v>96</v>
      </c>
      <c r="C12" s="117">
        <v>0.25</v>
      </c>
      <c r="E12" s="49" t="s">
        <v>77</v>
      </c>
      <c r="G12" s="123">
        <v>0.8</v>
      </c>
      <c r="H12" s="123">
        <v>0.8</v>
      </c>
      <c r="I12" s="123">
        <v>0.8</v>
      </c>
      <c r="J12" s="123">
        <v>0.8</v>
      </c>
      <c r="K12" s="123">
        <v>0.8</v>
      </c>
      <c r="L12" s="123">
        <v>0.8</v>
      </c>
      <c r="M12" s="123">
        <v>0.8</v>
      </c>
      <c r="N12" s="123">
        <v>0.8</v>
      </c>
      <c r="O12" s="123">
        <v>0.8</v>
      </c>
      <c r="P12" s="117">
        <v>0.8</v>
      </c>
    </row>
    <row r="13" spans="2:16" s="45" customFormat="1" x14ac:dyDescent="0.35">
      <c r="B13" s="63" t="s">
        <v>97</v>
      </c>
      <c r="C13" s="117">
        <v>0.9</v>
      </c>
      <c r="E13" s="49" t="s">
        <v>76</v>
      </c>
      <c r="G13" s="107">
        <f>G11*G10</f>
        <v>54750</v>
      </c>
      <c r="H13" s="107">
        <f t="shared" ref="H13:P13" si="3">H11*H10</f>
        <v>54750</v>
      </c>
      <c r="I13" s="107">
        <f t="shared" si="3"/>
        <v>54900</v>
      </c>
      <c r="J13" s="107">
        <f t="shared" si="3"/>
        <v>54750</v>
      </c>
      <c r="K13" s="107">
        <f t="shared" si="3"/>
        <v>54750</v>
      </c>
      <c r="L13" s="107">
        <f t="shared" si="3"/>
        <v>54750</v>
      </c>
      <c r="M13" s="107">
        <f t="shared" si="3"/>
        <v>54900</v>
      </c>
      <c r="N13" s="107">
        <f t="shared" si="3"/>
        <v>54750</v>
      </c>
      <c r="O13" s="107">
        <f t="shared" si="3"/>
        <v>54750</v>
      </c>
      <c r="P13" s="108">
        <f t="shared" si="3"/>
        <v>54750</v>
      </c>
    </row>
    <row r="14" spans="2:16" s="45" customFormat="1" x14ac:dyDescent="0.35">
      <c r="B14" s="63" t="s">
        <v>105</v>
      </c>
      <c r="C14" s="117">
        <v>0.95</v>
      </c>
      <c r="E14" s="49" t="s">
        <v>78</v>
      </c>
      <c r="G14" s="109">
        <f>ROUND(G13*G12,0)</f>
        <v>43800</v>
      </c>
      <c r="H14" s="109">
        <f t="shared" ref="H14:P14" si="4">ROUND(H13*H12,0)</f>
        <v>43800</v>
      </c>
      <c r="I14" s="109">
        <f t="shared" si="4"/>
        <v>43920</v>
      </c>
      <c r="J14" s="109">
        <f t="shared" si="4"/>
        <v>43800</v>
      </c>
      <c r="K14" s="109">
        <f t="shared" si="4"/>
        <v>43800</v>
      </c>
      <c r="L14" s="109">
        <f t="shared" si="4"/>
        <v>43800</v>
      </c>
      <c r="M14" s="109">
        <f t="shared" si="4"/>
        <v>43920</v>
      </c>
      <c r="N14" s="109">
        <f t="shared" si="4"/>
        <v>43800</v>
      </c>
      <c r="O14" s="109">
        <f t="shared" si="4"/>
        <v>43800</v>
      </c>
      <c r="P14" s="110">
        <f t="shared" si="4"/>
        <v>43800</v>
      </c>
    </row>
    <row r="15" spans="2:16" s="45" customFormat="1" x14ac:dyDescent="0.35">
      <c r="B15" s="99"/>
      <c r="C15" s="50"/>
      <c r="E15" s="49" t="s">
        <v>9</v>
      </c>
      <c r="G15" s="120">
        <v>150</v>
      </c>
      <c r="H15" s="120">
        <f>G15*1.02</f>
        <v>153</v>
      </c>
      <c r="I15" s="120">
        <f t="shared" ref="I15:P15" si="5">H15*1.02</f>
        <v>156.06</v>
      </c>
      <c r="J15" s="120">
        <f t="shared" si="5"/>
        <v>159.18120000000002</v>
      </c>
      <c r="K15" s="120">
        <f t="shared" si="5"/>
        <v>162.36482400000003</v>
      </c>
      <c r="L15" s="120">
        <f t="shared" si="5"/>
        <v>165.61212048000004</v>
      </c>
      <c r="M15" s="120">
        <f t="shared" si="5"/>
        <v>168.92436288960005</v>
      </c>
      <c r="N15" s="120">
        <f t="shared" si="5"/>
        <v>172.30285014739206</v>
      </c>
      <c r="O15" s="120">
        <f t="shared" si="5"/>
        <v>175.7489071503399</v>
      </c>
      <c r="P15" s="121">
        <f t="shared" si="5"/>
        <v>179.2638852933467</v>
      </c>
    </row>
    <row r="16" spans="2:16" s="45" customFormat="1" x14ac:dyDescent="0.35">
      <c r="B16" s="63" t="s">
        <v>6</v>
      </c>
      <c r="C16" s="100"/>
      <c r="E16" s="49" t="s">
        <v>79</v>
      </c>
      <c r="G16" s="52">
        <f>G15*G12</f>
        <v>120</v>
      </c>
      <c r="H16" s="52">
        <f t="shared" ref="H16:P16" si="6">H15*H12</f>
        <v>122.4</v>
      </c>
      <c r="I16" s="52">
        <f t="shared" si="6"/>
        <v>124.84800000000001</v>
      </c>
      <c r="J16" s="52">
        <f t="shared" si="6"/>
        <v>127.34496000000001</v>
      </c>
      <c r="K16" s="52">
        <f t="shared" si="6"/>
        <v>129.89185920000003</v>
      </c>
      <c r="L16" s="52">
        <f t="shared" si="6"/>
        <v>132.48969638400004</v>
      </c>
      <c r="M16" s="52">
        <f t="shared" si="6"/>
        <v>135.13949031168005</v>
      </c>
      <c r="N16" s="52">
        <f t="shared" si="6"/>
        <v>137.84228011791365</v>
      </c>
      <c r="O16" s="52">
        <f t="shared" si="6"/>
        <v>140.59912572027193</v>
      </c>
      <c r="P16" s="87">
        <f t="shared" si="6"/>
        <v>143.41110823467736</v>
      </c>
    </row>
    <row r="17" spans="2:18" s="45" customFormat="1" x14ac:dyDescent="0.35">
      <c r="B17" s="99" t="s">
        <v>90</v>
      </c>
      <c r="C17" s="117">
        <v>0.03</v>
      </c>
      <c r="E17" s="49"/>
      <c r="G17" s="51"/>
      <c r="H17" s="51"/>
      <c r="I17" s="51"/>
      <c r="J17" s="51"/>
      <c r="K17" s="51"/>
      <c r="L17" s="51"/>
      <c r="P17" s="50"/>
    </row>
    <row r="18" spans="2:18" s="45" customFormat="1" x14ac:dyDescent="0.35">
      <c r="B18" s="99" t="s">
        <v>91</v>
      </c>
      <c r="C18" s="117">
        <v>0.1</v>
      </c>
      <c r="E18" s="59" t="s">
        <v>83</v>
      </c>
      <c r="F18" s="78"/>
      <c r="P18" s="50"/>
    </row>
    <row r="19" spans="2:18" s="45" customFormat="1" x14ac:dyDescent="0.35">
      <c r="B19" s="99" t="s">
        <v>94</v>
      </c>
      <c r="C19" s="116">
        <v>3850000</v>
      </c>
      <c r="E19" s="49" t="s">
        <v>3</v>
      </c>
      <c r="G19" s="52">
        <f>G16*G13</f>
        <v>6570000</v>
      </c>
      <c r="H19" s="52">
        <f t="shared" ref="H19:P19" si="7">H16*H13</f>
        <v>6701400</v>
      </c>
      <c r="I19" s="52">
        <f t="shared" si="7"/>
        <v>6854155.2000000011</v>
      </c>
      <c r="J19" s="52">
        <f t="shared" si="7"/>
        <v>6972136.5600000005</v>
      </c>
      <c r="K19" s="52">
        <f t="shared" si="7"/>
        <v>7111579.2912000017</v>
      </c>
      <c r="L19" s="52">
        <f t="shared" si="7"/>
        <v>7253810.8770240024</v>
      </c>
      <c r="M19" s="52">
        <f t="shared" si="7"/>
        <v>7419158.0181112345</v>
      </c>
      <c r="N19" s="52">
        <f t="shared" si="7"/>
        <v>7546864.8364557717</v>
      </c>
      <c r="O19" s="52">
        <f t="shared" si="7"/>
        <v>7697802.1331848884</v>
      </c>
      <c r="P19" s="87">
        <f t="shared" si="7"/>
        <v>7851758.1758485856</v>
      </c>
    </row>
    <row r="20" spans="2:18" s="45" customFormat="1" x14ac:dyDescent="0.35">
      <c r="B20" s="49"/>
      <c r="C20" s="50"/>
      <c r="E20" s="49" t="s">
        <v>80</v>
      </c>
      <c r="G20" s="120">
        <v>1500000</v>
      </c>
      <c r="H20" s="120">
        <v>1600000</v>
      </c>
      <c r="I20" s="120">
        <v>1650000</v>
      </c>
      <c r="J20" s="120">
        <v>1700000</v>
      </c>
      <c r="K20" s="120">
        <v>1750000</v>
      </c>
      <c r="L20" s="120">
        <v>1800000</v>
      </c>
      <c r="M20" s="120">
        <v>1850000</v>
      </c>
      <c r="N20" s="120">
        <v>1900000</v>
      </c>
      <c r="O20" s="120">
        <v>1950000</v>
      </c>
      <c r="P20" s="121">
        <v>2000000</v>
      </c>
    </row>
    <row r="21" spans="2:18" s="45" customFormat="1" ht="16" thickBot="1" x14ac:dyDescent="0.4">
      <c r="B21" s="102" t="s">
        <v>98</v>
      </c>
      <c r="C21" s="118">
        <v>0.04</v>
      </c>
      <c r="E21" s="49" t="s">
        <v>81</v>
      </c>
      <c r="G21" s="120">
        <v>50000</v>
      </c>
      <c r="H21" s="120">
        <v>55000</v>
      </c>
      <c r="I21" s="120">
        <v>60000</v>
      </c>
      <c r="J21" s="120">
        <v>65000</v>
      </c>
      <c r="K21" s="120">
        <v>70000</v>
      </c>
      <c r="L21" s="120">
        <v>75000</v>
      </c>
      <c r="M21" s="120">
        <v>80000</v>
      </c>
      <c r="N21" s="120">
        <v>85000</v>
      </c>
      <c r="O21" s="120">
        <v>90000</v>
      </c>
      <c r="P21" s="121">
        <v>95000</v>
      </c>
    </row>
    <row r="22" spans="2:18" s="45" customFormat="1" x14ac:dyDescent="0.35">
      <c r="E22" s="49" t="s">
        <v>103</v>
      </c>
      <c r="G22" s="120">
        <v>1000</v>
      </c>
      <c r="H22" s="120">
        <v>1200</v>
      </c>
      <c r="I22" s="120">
        <v>1400</v>
      </c>
      <c r="J22" s="120">
        <v>1600</v>
      </c>
      <c r="K22" s="120">
        <v>1800</v>
      </c>
      <c r="L22" s="120">
        <v>2000</v>
      </c>
      <c r="M22" s="120">
        <v>2200</v>
      </c>
      <c r="N22" s="120">
        <v>2400</v>
      </c>
      <c r="O22" s="120">
        <v>2600</v>
      </c>
      <c r="P22" s="121">
        <v>2800</v>
      </c>
      <c r="R22" s="61"/>
    </row>
    <row r="23" spans="2:18" s="45" customFormat="1" ht="16" thickBot="1" x14ac:dyDescent="0.4">
      <c r="B23" s="46"/>
      <c r="C23" s="65"/>
      <c r="E23" s="49" t="s">
        <v>87</v>
      </c>
      <c r="G23" s="48">
        <f>SUM(G19:G22)</f>
        <v>8121000</v>
      </c>
      <c r="H23" s="48">
        <f t="shared" ref="H23:P23" si="8">SUM(H19:H22)</f>
        <v>8357600</v>
      </c>
      <c r="I23" s="48">
        <f t="shared" si="8"/>
        <v>8565555.2000000011</v>
      </c>
      <c r="J23" s="48">
        <f t="shared" si="8"/>
        <v>8738736.5600000005</v>
      </c>
      <c r="K23" s="48">
        <f t="shared" si="8"/>
        <v>8933379.2912000008</v>
      </c>
      <c r="L23" s="48">
        <f t="shared" si="8"/>
        <v>9130810.8770240024</v>
      </c>
      <c r="M23" s="48">
        <f t="shared" si="8"/>
        <v>9351358.0181112345</v>
      </c>
      <c r="N23" s="48">
        <f t="shared" si="8"/>
        <v>9534264.8364557717</v>
      </c>
      <c r="O23" s="48">
        <f t="shared" si="8"/>
        <v>9740402.1331848875</v>
      </c>
      <c r="P23" s="88">
        <f t="shared" si="8"/>
        <v>9949558.1758485846</v>
      </c>
      <c r="R23" s="61"/>
    </row>
    <row r="24" spans="2:18" s="45" customFormat="1" x14ac:dyDescent="0.35">
      <c r="B24" s="94" t="s">
        <v>120</v>
      </c>
      <c r="C24" s="95"/>
      <c r="E24" s="49"/>
      <c r="G24" s="48"/>
      <c r="H24" s="48"/>
      <c r="I24" s="48"/>
      <c r="J24" s="48"/>
      <c r="K24" s="48"/>
      <c r="L24" s="48"/>
      <c r="P24" s="50"/>
    </row>
    <row r="25" spans="2:18" s="45" customFormat="1" x14ac:dyDescent="0.35">
      <c r="B25" s="63" t="s">
        <v>118</v>
      </c>
      <c r="C25" s="103">
        <f>SUM(C8:C9)/AVERAGE(G56:P56)</f>
        <v>5.4870537754412556</v>
      </c>
      <c r="E25" s="59" t="s">
        <v>84</v>
      </c>
      <c r="F25" s="78"/>
      <c r="P25" s="50"/>
    </row>
    <row r="26" spans="2:18" s="45" customFormat="1" x14ac:dyDescent="0.35">
      <c r="B26" s="63" t="s">
        <v>110</v>
      </c>
      <c r="C26" s="88">
        <f>SUMIFS(F56:P56,F56:P56,"&lt;0")</f>
        <v>-20200000</v>
      </c>
      <c r="E26" s="49" t="s">
        <v>3</v>
      </c>
      <c r="G26" s="79">
        <f t="shared" ref="G26:P26" si="9">G19*(1-$C$11)</f>
        <v>2299500</v>
      </c>
      <c r="H26" s="79">
        <f t="shared" si="9"/>
        <v>2345490</v>
      </c>
      <c r="I26" s="79">
        <f t="shared" si="9"/>
        <v>2398954.3200000003</v>
      </c>
      <c r="J26" s="79">
        <f t="shared" si="9"/>
        <v>2440247.7960000001</v>
      </c>
      <c r="K26" s="79">
        <f t="shared" si="9"/>
        <v>2489052.7519200006</v>
      </c>
      <c r="L26" s="79">
        <f t="shared" si="9"/>
        <v>2538833.8069584006</v>
      </c>
      <c r="M26" s="79">
        <f t="shared" si="9"/>
        <v>2596705.3063389319</v>
      </c>
      <c r="N26" s="79">
        <f t="shared" si="9"/>
        <v>2641402.6927595199</v>
      </c>
      <c r="O26" s="79">
        <f t="shared" si="9"/>
        <v>2694230.7466147109</v>
      </c>
      <c r="P26" s="89">
        <f t="shared" si="9"/>
        <v>2748115.3615470049</v>
      </c>
    </row>
    <row r="27" spans="2:18" s="45" customFormat="1" x14ac:dyDescent="0.35">
      <c r="B27" s="63" t="s">
        <v>111</v>
      </c>
      <c r="C27" s="88">
        <f>SUMIFS(F56:P56,F56:P56,"&gt;0")</f>
        <v>36813927.522289619</v>
      </c>
      <c r="E27" s="49" t="s">
        <v>80</v>
      </c>
      <c r="G27" s="79">
        <f t="shared" ref="G27:P27" si="10">G20*(1-$C$12)</f>
        <v>1125000</v>
      </c>
      <c r="H27" s="79">
        <f t="shared" si="10"/>
        <v>1200000</v>
      </c>
      <c r="I27" s="79">
        <f t="shared" si="10"/>
        <v>1237500</v>
      </c>
      <c r="J27" s="79">
        <f t="shared" si="10"/>
        <v>1275000</v>
      </c>
      <c r="K27" s="79">
        <f t="shared" si="10"/>
        <v>1312500</v>
      </c>
      <c r="L27" s="79">
        <f t="shared" si="10"/>
        <v>1350000</v>
      </c>
      <c r="M27" s="79">
        <f t="shared" si="10"/>
        <v>1387500</v>
      </c>
      <c r="N27" s="79">
        <f t="shared" si="10"/>
        <v>1425000</v>
      </c>
      <c r="O27" s="79">
        <f t="shared" si="10"/>
        <v>1462500</v>
      </c>
      <c r="P27" s="89">
        <f t="shared" si="10"/>
        <v>1500000</v>
      </c>
    </row>
    <row r="28" spans="2:18" s="45" customFormat="1" x14ac:dyDescent="0.35">
      <c r="B28" s="63" t="s">
        <v>112</v>
      </c>
      <c r="C28" s="132">
        <f>C27/-C26</f>
        <v>1.822471659519288</v>
      </c>
      <c r="E28" s="49" t="s">
        <v>81</v>
      </c>
      <c r="G28" s="79">
        <f t="shared" ref="G28:P28" si="11">G21*(1-$C$13)</f>
        <v>4999.9999999999991</v>
      </c>
      <c r="H28" s="79">
        <f t="shared" si="11"/>
        <v>5499.9999999999991</v>
      </c>
      <c r="I28" s="79">
        <f t="shared" si="11"/>
        <v>5999.9999999999991</v>
      </c>
      <c r="J28" s="79">
        <f t="shared" si="11"/>
        <v>6499.9999999999982</v>
      </c>
      <c r="K28" s="79">
        <f t="shared" si="11"/>
        <v>6999.9999999999982</v>
      </c>
      <c r="L28" s="79">
        <f t="shared" si="11"/>
        <v>7499.9999999999982</v>
      </c>
      <c r="M28" s="79">
        <f t="shared" si="11"/>
        <v>7999.9999999999982</v>
      </c>
      <c r="N28" s="79">
        <f t="shared" si="11"/>
        <v>8499.9999999999982</v>
      </c>
      <c r="O28" s="79">
        <f t="shared" si="11"/>
        <v>8999.9999999999982</v>
      </c>
      <c r="P28" s="89">
        <f t="shared" si="11"/>
        <v>9499.9999999999982</v>
      </c>
    </row>
    <row r="29" spans="2:18" s="45" customFormat="1" ht="16" thickBot="1" x14ac:dyDescent="0.4">
      <c r="B29" s="102" t="s">
        <v>123</v>
      </c>
      <c r="C29" s="133">
        <f>IRR(F56:P56)</f>
        <v>0.12308952346358248</v>
      </c>
      <c r="E29" s="49" t="s">
        <v>104</v>
      </c>
      <c r="G29" s="79">
        <f t="shared" ref="G29:P29" si="12">G22*(1-$C$14)</f>
        <v>50.000000000000043</v>
      </c>
      <c r="H29" s="79">
        <f t="shared" si="12"/>
        <v>60.000000000000057</v>
      </c>
      <c r="I29" s="79">
        <f t="shared" si="12"/>
        <v>70.000000000000057</v>
      </c>
      <c r="J29" s="79">
        <f t="shared" si="12"/>
        <v>80.000000000000071</v>
      </c>
      <c r="K29" s="79">
        <f t="shared" si="12"/>
        <v>90.000000000000085</v>
      </c>
      <c r="L29" s="79">
        <f t="shared" si="12"/>
        <v>100.00000000000009</v>
      </c>
      <c r="M29" s="79">
        <f t="shared" si="12"/>
        <v>110.0000000000001</v>
      </c>
      <c r="N29" s="79">
        <f t="shared" si="12"/>
        <v>120.00000000000011</v>
      </c>
      <c r="O29" s="79">
        <f t="shared" si="12"/>
        <v>130.00000000000011</v>
      </c>
      <c r="P29" s="89">
        <f t="shared" si="12"/>
        <v>140.00000000000011</v>
      </c>
    </row>
    <row r="30" spans="2:18" s="45" customFormat="1" x14ac:dyDescent="0.35">
      <c r="E30" s="49" t="s">
        <v>4</v>
      </c>
      <c r="G30" s="79">
        <f>SUM(G26:G29)</f>
        <v>3429550</v>
      </c>
      <c r="H30" s="79">
        <f>SUM(H26:H29)</f>
        <v>3551050</v>
      </c>
      <c r="I30" s="79">
        <f t="shared" ref="I30:P30" si="13">SUM(I26:I29)</f>
        <v>3642524.3200000003</v>
      </c>
      <c r="J30" s="79">
        <f t="shared" si="13"/>
        <v>3721827.7960000001</v>
      </c>
      <c r="K30" s="79">
        <f t="shared" si="13"/>
        <v>3808642.7519200006</v>
      </c>
      <c r="L30" s="79">
        <f t="shared" si="13"/>
        <v>3896433.8069584006</v>
      </c>
      <c r="M30" s="79">
        <f t="shared" si="13"/>
        <v>3992315.3063389319</v>
      </c>
      <c r="N30" s="79">
        <f t="shared" si="13"/>
        <v>4075022.6927595199</v>
      </c>
      <c r="O30" s="79">
        <f t="shared" si="13"/>
        <v>4165860.7466147109</v>
      </c>
      <c r="P30" s="89">
        <f t="shared" si="13"/>
        <v>4257755.3615470044</v>
      </c>
    </row>
    <row r="31" spans="2:18" s="45" customFormat="1" x14ac:dyDescent="0.35">
      <c r="B31" s="46"/>
      <c r="E31" s="49"/>
      <c r="P31" s="50"/>
    </row>
    <row r="32" spans="2:18" s="45" customFormat="1" x14ac:dyDescent="0.35">
      <c r="B32" s="46"/>
      <c r="C32" s="53"/>
      <c r="E32" s="59" t="s">
        <v>85</v>
      </c>
      <c r="F32" s="78"/>
      <c r="P32" s="50"/>
    </row>
    <row r="33" spans="2:16" s="45" customFormat="1" x14ac:dyDescent="0.35">
      <c r="B33" s="46"/>
      <c r="C33" s="53"/>
      <c r="E33" s="49" t="s">
        <v>3</v>
      </c>
      <c r="G33" s="48">
        <f>G19-G26</f>
        <v>4270500</v>
      </c>
      <c r="H33" s="48">
        <f t="shared" ref="H33:P33" si="14">H19-H26</f>
        <v>4355910</v>
      </c>
      <c r="I33" s="48">
        <f t="shared" si="14"/>
        <v>4455200.8800000008</v>
      </c>
      <c r="J33" s="48">
        <f t="shared" si="14"/>
        <v>4531888.7640000004</v>
      </c>
      <c r="K33" s="48">
        <f t="shared" si="14"/>
        <v>4622526.5392800011</v>
      </c>
      <c r="L33" s="48">
        <f t="shared" si="14"/>
        <v>4714977.0700656017</v>
      </c>
      <c r="M33" s="48">
        <f t="shared" si="14"/>
        <v>4822452.7117723022</v>
      </c>
      <c r="N33" s="48">
        <f t="shared" si="14"/>
        <v>4905462.1436962523</v>
      </c>
      <c r="O33" s="48">
        <f t="shared" si="14"/>
        <v>5003571.386570178</v>
      </c>
      <c r="P33" s="88">
        <f t="shared" si="14"/>
        <v>5103642.8143015802</v>
      </c>
    </row>
    <row r="34" spans="2:16" s="45" customFormat="1" x14ac:dyDescent="0.35">
      <c r="B34" s="46"/>
      <c r="C34" s="53"/>
      <c r="D34" s="53"/>
      <c r="E34" s="49" t="s">
        <v>80</v>
      </c>
      <c r="G34" s="48">
        <f>G20-G27</f>
        <v>375000</v>
      </c>
      <c r="H34" s="48">
        <f t="shared" ref="H34:P34" si="15">H20-H27</f>
        <v>400000</v>
      </c>
      <c r="I34" s="48">
        <f t="shared" si="15"/>
        <v>412500</v>
      </c>
      <c r="J34" s="48">
        <f t="shared" si="15"/>
        <v>425000</v>
      </c>
      <c r="K34" s="48">
        <f t="shared" si="15"/>
        <v>437500</v>
      </c>
      <c r="L34" s="48">
        <f t="shared" si="15"/>
        <v>450000</v>
      </c>
      <c r="M34" s="48">
        <f t="shared" si="15"/>
        <v>462500</v>
      </c>
      <c r="N34" s="48">
        <f t="shared" si="15"/>
        <v>475000</v>
      </c>
      <c r="O34" s="48">
        <f t="shared" si="15"/>
        <v>487500</v>
      </c>
      <c r="P34" s="88">
        <f t="shared" si="15"/>
        <v>500000</v>
      </c>
    </row>
    <row r="35" spans="2:16" s="45" customFormat="1" x14ac:dyDescent="0.35">
      <c r="B35" s="46"/>
      <c r="C35" s="53"/>
      <c r="D35" s="53"/>
      <c r="E35" s="49" t="s">
        <v>81</v>
      </c>
      <c r="G35" s="48">
        <f>G21-G28</f>
        <v>45000</v>
      </c>
      <c r="H35" s="48">
        <f t="shared" ref="H35:P35" si="16">H21-H28</f>
        <v>49500</v>
      </c>
      <c r="I35" s="48">
        <f t="shared" si="16"/>
        <v>54000</v>
      </c>
      <c r="J35" s="48">
        <f t="shared" si="16"/>
        <v>58500</v>
      </c>
      <c r="K35" s="48">
        <f t="shared" si="16"/>
        <v>63000</v>
      </c>
      <c r="L35" s="48">
        <f t="shared" si="16"/>
        <v>67500</v>
      </c>
      <c r="M35" s="48">
        <f t="shared" si="16"/>
        <v>72000</v>
      </c>
      <c r="N35" s="48">
        <f t="shared" si="16"/>
        <v>76500</v>
      </c>
      <c r="O35" s="48">
        <f t="shared" si="16"/>
        <v>81000</v>
      </c>
      <c r="P35" s="88">
        <f t="shared" si="16"/>
        <v>85500</v>
      </c>
    </row>
    <row r="36" spans="2:16" s="45" customFormat="1" x14ac:dyDescent="0.35">
      <c r="C36" s="53"/>
      <c r="D36" s="53"/>
      <c r="E36" s="49" t="s">
        <v>106</v>
      </c>
      <c r="G36" s="48">
        <f>G22-G29</f>
        <v>950</v>
      </c>
      <c r="H36" s="48">
        <f t="shared" ref="H36:P36" si="17">H22-H29</f>
        <v>1140</v>
      </c>
      <c r="I36" s="48">
        <f t="shared" si="17"/>
        <v>1330</v>
      </c>
      <c r="J36" s="48">
        <f t="shared" si="17"/>
        <v>1520</v>
      </c>
      <c r="K36" s="48">
        <f t="shared" si="17"/>
        <v>1710</v>
      </c>
      <c r="L36" s="48">
        <f t="shared" si="17"/>
        <v>1900</v>
      </c>
      <c r="M36" s="48">
        <f t="shared" si="17"/>
        <v>2090</v>
      </c>
      <c r="N36" s="48">
        <f t="shared" si="17"/>
        <v>2280</v>
      </c>
      <c r="O36" s="48">
        <f t="shared" si="17"/>
        <v>2470</v>
      </c>
      <c r="P36" s="88">
        <f t="shared" si="17"/>
        <v>2660</v>
      </c>
    </row>
    <row r="37" spans="2:16" s="45" customFormat="1" x14ac:dyDescent="0.35">
      <c r="C37" s="53"/>
      <c r="D37" s="53"/>
      <c r="E37" s="49" t="s">
        <v>86</v>
      </c>
      <c r="G37" s="48">
        <f>SUM(G33:G36)</f>
        <v>4691450</v>
      </c>
      <c r="H37" s="48">
        <f t="shared" ref="H37:P37" si="18">SUM(H33:H36)</f>
        <v>4806550</v>
      </c>
      <c r="I37" s="48">
        <f t="shared" si="18"/>
        <v>4923030.8800000008</v>
      </c>
      <c r="J37" s="48">
        <f t="shared" si="18"/>
        <v>5016908.7640000004</v>
      </c>
      <c r="K37" s="48">
        <f t="shared" si="18"/>
        <v>5124736.5392800011</v>
      </c>
      <c r="L37" s="48">
        <f t="shared" si="18"/>
        <v>5234377.0700656017</v>
      </c>
      <c r="M37" s="48">
        <f t="shared" si="18"/>
        <v>5359042.7117723022</v>
      </c>
      <c r="N37" s="48">
        <f t="shared" si="18"/>
        <v>5459242.1436962523</v>
      </c>
      <c r="O37" s="48">
        <f t="shared" si="18"/>
        <v>5574541.386570178</v>
      </c>
      <c r="P37" s="88">
        <f t="shared" si="18"/>
        <v>5691802.8143015802</v>
      </c>
    </row>
    <row r="38" spans="2:16" s="45" customFormat="1" x14ac:dyDescent="0.35">
      <c r="C38" s="48"/>
      <c r="E38" s="49"/>
      <c r="G38" s="48"/>
      <c r="H38" s="48"/>
      <c r="I38" s="48"/>
      <c r="J38" s="48"/>
      <c r="K38" s="48"/>
      <c r="L38" s="48"/>
      <c r="M38" s="48"/>
      <c r="N38" s="48"/>
      <c r="O38" s="48"/>
      <c r="P38" s="88"/>
    </row>
    <row r="39" spans="2:16" s="45" customFormat="1" x14ac:dyDescent="0.35">
      <c r="E39" s="58" t="s">
        <v>107</v>
      </c>
      <c r="F39" s="80"/>
      <c r="G39" s="120">
        <v>700000</v>
      </c>
      <c r="H39" s="120">
        <v>720000</v>
      </c>
      <c r="I39" s="120">
        <v>740000</v>
      </c>
      <c r="J39" s="120">
        <v>760000</v>
      </c>
      <c r="K39" s="120">
        <v>780000</v>
      </c>
      <c r="L39" s="120">
        <v>800000</v>
      </c>
      <c r="M39" s="120">
        <v>820000</v>
      </c>
      <c r="N39" s="120">
        <v>840000</v>
      </c>
      <c r="O39" s="120">
        <v>860000</v>
      </c>
      <c r="P39" s="121">
        <v>880000</v>
      </c>
    </row>
    <row r="40" spans="2:16" s="45" customFormat="1" x14ac:dyDescent="0.35">
      <c r="E40" s="49"/>
      <c r="P40" s="50"/>
    </row>
    <row r="41" spans="2:16" s="45" customFormat="1" x14ac:dyDescent="0.35">
      <c r="B41" s="72"/>
      <c r="E41" s="58" t="s">
        <v>5</v>
      </c>
      <c r="F41" s="80"/>
      <c r="G41" s="48">
        <f>G37-G39</f>
        <v>3991450</v>
      </c>
      <c r="H41" s="48">
        <f t="shared" ref="H41:P41" si="19">H37-H39</f>
        <v>4086550</v>
      </c>
      <c r="I41" s="48">
        <f t="shared" si="19"/>
        <v>4183030.8800000008</v>
      </c>
      <c r="J41" s="48">
        <f t="shared" si="19"/>
        <v>4256908.7640000004</v>
      </c>
      <c r="K41" s="48">
        <f t="shared" si="19"/>
        <v>4344736.5392800011</v>
      </c>
      <c r="L41" s="48">
        <f t="shared" si="19"/>
        <v>4434377.0700656017</v>
      </c>
      <c r="M41" s="48">
        <f t="shared" si="19"/>
        <v>4539042.7117723022</v>
      </c>
      <c r="N41" s="48">
        <f t="shared" si="19"/>
        <v>4619242.1436962523</v>
      </c>
      <c r="O41" s="48">
        <f t="shared" si="19"/>
        <v>4714541.386570178</v>
      </c>
      <c r="P41" s="88">
        <f t="shared" si="19"/>
        <v>4811802.8143015802</v>
      </c>
    </row>
    <row r="42" spans="2:16" s="45" customFormat="1" x14ac:dyDescent="0.35">
      <c r="B42" s="72"/>
      <c r="D42" s="73"/>
      <c r="E42" s="64" t="s">
        <v>101</v>
      </c>
      <c r="F42" s="80"/>
      <c r="G42" s="81">
        <f>G41/G23</f>
        <v>0.49149735254279031</v>
      </c>
      <c r="H42" s="81">
        <f t="shared" ref="H42:P42" si="20">H41/H23</f>
        <v>0.48896214224179191</v>
      </c>
      <c r="I42" s="81">
        <f t="shared" si="20"/>
        <v>0.48835490313575941</v>
      </c>
      <c r="J42" s="81">
        <f t="shared" si="20"/>
        <v>0.48713091815643428</v>
      </c>
      <c r="K42" s="81">
        <f t="shared" si="20"/>
        <v>0.48634860310474765</v>
      </c>
      <c r="L42" s="81">
        <f t="shared" si="20"/>
        <v>0.48564986503267654</v>
      </c>
      <c r="M42" s="81">
        <f t="shared" si="20"/>
        <v>0.48538861446447834</v>
      </c>
      <c r="N42" s="81">
        <f t="shared" si="20"/>
        <v>0.48448854976566713</v>
      </c>
      <c r="O42" s="81">
        <f t="shared" si="20"/>
        <v>0.48401917314153348</v>
      </c>
      <c r="P42" s="90">
        <f t="shared" si="20"/>
        <v>0.48361974765690419</v>
      </c>
    </row>
    <row r="43" spans="2:16" s="45" customFormat="1" x14ac:dyDescent="0.35">
      <c r="B43" s="72"/>
      <c r="E43" s="49"/>
      <c r="P43" s="50"/>
    </row>
    <row r="44" spans="2:16" s="45" customFormat="1" x14ac:dyDescent="0.35">
      <c r="B44" s="72"/>
      <c r="E44" s="59" t="s">
        <v>6</v>
      </c>
      <c r="F44" s="78"/>
      <c r="P44" s="50"/>
    </row>
    <row r="45" spans="2:16" s="45" customFormat="1" x14ac:dyDescent="0.35">
      <c r="B45" s="72"/>
      <c r="E45" s="49" t="s">
        <v>88</v>
      </c>
      <c r="G45" s="48">
        <f t="shared" ref="G45:P45" si="21">G23*$C$17</f>
        <v>243630</v>
      </c>
      <c r="H45" s="48">
        <f t="shared" si="21"/>
        <v>250728</v>
      </c>
      <c r="I45" s="48">
        <f t="shared" si="21"/>
        <v>256966.65600000002</v>
      </c>
      <c r="J45" s="48">
        <f t="shared" si="21"/>
        <v>262162.0968</v>
      </c>
      <c r="K45" s="48">
        <f t="shared" si="21"/>
        <v>268001.37873600004</v>
      </c>
      <c r="L45" s="48">
        <f t="shared" si="21"/>
        <v>273924.32631072006</v>
      </c>
      <c r="M45" s="48">
        <f t="shared" si="21"/>
        <v>280540.74054333701</v>
      </c>
      <c r="N45" s="48">
        <f t="shared" si="21"/>
        <v>286027.94509367313</v>
      </c>
      <c r="O45" s="48">
        <f t="shared" si="21"/>
        <v>292212.0639955466</v>
      </c>
      <c r="P45" s="88">
        <f t="shared" si="21"/>
        <v>298486.74527545751</v>
      </c>
    </row>
    <row r="46" spans="2:16" s="45" customFormat="1" x14ac:dyDescent="0.35">
      <c r="E46" s="49" t="s">
        <v>89</v>
      </c>
      <c r="G46" s="48">
        <f t="shared" ref="G46:P46" si="22">IF(G41&gt;$C$19,(G41-$C$19)*$C$18,0)</f>
        <v>14145</v>
      </c>
      <c r="H46" s="48">
        <f t="shared" si="22"/>
        <v>23655</v>
      </c>
      <c r="I46" s="48">
        <f t="shared" si="22"/>
        <v>33303.088000000083</v>
      </c>
      <c r="J46" s="48">
        <f t="shared" si="22"/>
        <v>40690.876400000045</v>
      </c>
      <c r="K46" s="48">
        <f t="shared" si="22"/>
        <v>49473.653928000109</v>
      </c>
      <c r="L46" s="48">
        <f t="shared" si="22"/>
        <v>58437.707006560173</v>
      </c>
      <c r="M46" s="48">
        <f t="shared" si="22"/>
        <v>68904.271177230214</v>
      </c>
      <c r="N46" s="48">
        <f t="shared" si="22"/>
        <v>76924.214369625231</v>
      </c>
      <c r="O46" s="48">
        <f t="shared" si="22"/>
        <v>86454.1386570178</v>
      </c>
      <c r="P46" s="88">
        <f t="shared" si="22"/>
        <v>96180.281430158022</v>
      </c>
    </row>
    <row r="47" spans="2:16" s="45" customFormat="1" x14ac:dyDescent="0.35">
      <c r="E47" s="49" t="s">
        <v>92</v>
      </c>
      <c r="G47" s="48">
        <f>SUM(G45:G46)</f>
        <v>257775</v>
      </c>
      <c r="H47" s="48">
        <f t="shared" ref="H47:P47" si="23">SUM(H45:H46)</f>
        <v>274383</v>
      </c>
      <c r="I47" s="48">
        <f t="shared" si="23"/>
        <v>290269.74400000012</v>
      </c>
      <c r="J47" s="48">
        <f t="shared" si="23"/>
        <v>302852.97320000007</v>
      </c>
      <c r="K47" s="48">
        <f t="shared" si="23"/>
        <v>317475.03266400017</v>
      </c>
      <c r="L47" s="48">
        <f t="shared" si="23"/>
        <v>332362.03331728023</v>
      </c>
      <c r="M47" s="48">
        <f t="shared" si="23"/>
        <v>349445.01172056724</v>
      </c>
      <c r="N47" s="48">
        <f t="shared" si="23"/>
        <v>362952.15946329839</v>
      </c>
      <c r="O47" s="48">
        <f t="shared" si="23"/>
        <v>378666.20265256439</v>
      </c>
      <c r="P47" s="88">
        <f t="shared" si="23"/>
        <v>394667.02670561551</v>
      </c>
    </row>
    <row r="48" spans="2:16" s="45" customFormat="1" x14ac:dyDescent="0.35">
      <c r="E48" s="49"/>
      <c r="N48" s="48"/>
      <c r="P48" s="50"/>
    </row>
    <row r="49" spans="2:16" s="45" customFormat="1" x14ac:dyDescent="0.35">
      <c r="E49" s="59" t="s">
        <v>108</v>
      </c>
      <c r="G49" s="48">
        <f>G41-G47</f>
        <v>3733675</v>
      </c>
      <c r="H49" s="48">
        <f t="shared" ref="H49:P49" si="24">H41-H47</f>
        <v>3812167</v>
      </c>
      <c r="I49" s="48">
        <f t="shared" si="24"/>
        <v>3892761.1360000009</v>
      </c>
      <c r="J49" s="48">
        <f t="shared" si="24"/>
        <v>3954055.7908000005</v>
      </c>
      <c r="K49" s="48">
        <f t="shared" si="24"/>
        <v>4027261.506616001</v>
      </c>
      <c r="L49" s="48">
        <f t="shared" si="24"/>
        <v>4102015.0367483217</v>
      </c>
      <c r="M49" s="48">
        <f t="shared" si="24"/>
        <v>4189597.7000517352</v>
      </c>
      <c r="N49" s="48">
        <f t="shared" si="24"/>
        <v>4256289.9842329537</v>
      </c>
      <c r="O49" s="48">
        <f t="shared" si="24"/>
        <v>4335875.1839176137</v>
      </c>
      <c r="P49" s="88">
        <f t="shared" si="24"/>
        <v>4417135.787595965</v>
      </c>
    </row>
    <row r="50" spans="2:16" s="45" customFormat="1" x14ac:dyDescent="0.35">
      <c r="E50" s="49"/>
      <c r="N50" s="48"/>
      <c r="P50" s="50"/>
    </row>
    <row r="51" spans="2:16" s="45" customFormat="1" x14ac:dyDescent="0.35">
      <c r="E51" s="49" t="s">
        <v>109</v>
      </c>
      <c r="G51" s="120">
        <v>20000</v>
      </c>
      <c r="H51" s="120">
        <v>22000</v>
      </c>
      <c r="I51" s="120">
        <v>24000</v>
      </c>
      <c r="J51" s="120">
        <v>26000</v>
      </c>
      <c r="K51" s="120">
        <v>28000</v>
      </c>
      <c r="L51" s="120">
        <v>30000</v>
      </c>
      <c r="M51" s="120">
        <v>32000</v>
      </c>
      <c r="N51" s="120">
        <v>34000</v>
      </c>
      <c r="O51" s="120">
        <v>36000</v>
      </c>
      <c r="P51" s="121">
        <v>38000</v>
      </c>
    </row>
    <row r="52" spans="2:16" s="45" customFormat="1" x14ac:dyDescent="0.35">
      <c r="E52" s="49"/>
      <c r="N52" s="48"/>
      <c r="P52" s="50"/>
    </row>
    <row r="53" spans="2:16" s="45" customFormat="1" x14ac:dyDescent="0.35">
      <c r="B53" s="72"/>
      <c r="E53" s="58" t="s">
        <v>7</v>
      </c>
      <c r="G53" s="48">
        <f>G41-(G47+G51)</f>
        <v>3713675</v>
      </c>
      <c r="H53" s="48">
        <f t="shared" ref="H53:P53" si="25">H41-(H47+H51)</f>
        <v>3790167</v>
      </c>
      <c r="I53" s="48">
        <f t="shared" si="25"/>
        <v>3868761.1360000009</v>
      </c>
      <c r="J53" s="48">
        <f t="shared" si="25"/>
        <v>3928055.7908000005</v>
      </c>
      <c r="K53" s="48">
        <f t="shared" si="25"/>
        <v>3999261.506616001</v>
      </c>
      <c r="L53" s="48">
        <f t="shared" si="25"/>
        <v>4072015.0367483217</v>
      </c>
      <c r="M53" s="48">
        <f t="shared" si="25"/>
        <v>4157597.7000517352</v>
      </c>
      <c r="N53" s="48">
        <f t="shared" si="25"/>
        <v>4222289.9842329537</v>
      </c>
      <c r="O53" s="48">
        <f t="shared" si="25"/>
        <v>4299875.1839176137</v>
      </c>
      <c r="P53" s="88">
        <f t="shared" si="25"/>
        <v>4379135.787595965</v>
      </c>
    </row>
    <row r="54" spans="2:16" s="45" customFormat="1" x14ac:dyDescent="0.35">
      <c r="B54" s="72"/>
      <c r="E54" s="49" t="s">
        <v>93</v>
      </c>
      <c r="G54" s="48">
        <f t="shared" ref="G54:P54" si="26">G23*$C$21</f>
        <v>324840</v>
      </c>
      <c r="H54" s="48">
        <f t="shared" si="26"/>
        <v>334304</v>
      </c>
      <c r="I54" s="48">
        <f t="shared" si="26"/>
        <v>342622.20800000004</v>
      </c>
      <c r="J54" s="48">
        <f t="shared" si="26"/>
        <v>349549.46240000002</v>
      </c>
      <c r="K54" s="48">
        <f t="shared" si="26"/>
        <v>357335.17164800002</v>
      </c>
      <c r="L54" s="48">
        <f t="shared" si="26"/>
        <v>365232.4350809601</v>
      </c>
      <c r="M54" s="48">
        <f t="shared" si="26"/>
        <v>374054.32072444941</v>
      </c>
      <c r="N54" s="48">
        <f t="shared" si="26"/>
        <v>381370.5934582309</v>
      </c>
      <c r="O54" s="48">
        <f t="shared" si="26"/>
        <v>389616.08532739553</v>
      </c>
      <c r="P54" s="88">
        <f t="shared" si="26"/>
        <v>397982.32703394338</v>
      </c>
    </row>
    <row r="55" spans="2:16" s="45" customFormat="1" x14ac:dyDescent="0.35">
      <c r="B55" s="72"/>
      <c r="E55" s="49"/>
      <c r="P55" s="50"/>
    </row>
    <row r="56" spans="2:16" s="45" customFormat="1" x14ac:dyDescent="0.35">
      <c r="B56" s="72"/>
      <c r="E56" s="58" t="s">
        <v>8</v>
      </c>
      <c r="F56" s="48">
        <f>F7+F8</f>
        <v>-20200000</v>
      </c>
      <c r="G56" s="48">
        <f>G53-G54</f>
        <v>3388835</v>
      </c>
      <c r="H56" s="48">
        <f t="shared" ref="H56:P56" si="27">H53-H54</f>
        <v>3455863</v>
      </c>
      <c r="I56" s="48">
        <f t="shared" si="27"/>
        <v>3526138.9280000008</v>
      </c>
      <c r="J56" s="48">
        <f t="shared" si="27"/>
        <v>3578506.3284000005</v>
      </c>
      <c r="K56" s="48">
        <f t="shared" si="27"/>
        <v>3641926.3349680011</v>
      </c>
      <c r="L56" s="48">
        <f t="shared" si="27"/>
        <v>3706782.6016673618</v>
      </c>
      <c r="M56" s="48">
        <f t="shared" si="27"/>
        <v>3783543.3793272856</v>
      </c>
      <c r="N56" s="48">
        <f t="shared" si="27"/>
        <v>3840919.3907747227</v>
      </c>
      <c r="O56" s="48">
        <f t="shared" si="27"/>
        <v>3910259.098590218</v>
      </c>
      <c r="P56" s="88">
        <f t="shared" si="27"/>
        <v>3981153.4605620215</v>
      </c>
    </row>
    <row r="57" spans="2:16" s="45" customFormat="1" ht="16" thickBot="1" x14ac:dyDescent="0.4">
      <c r="B57" s="72"/>
      <c r="E57" s="91" t="s">
        <v>100</v>
      </c>
      <c r="F57" s="55"/>
      <c r="G57" s="92">
        <f>G56/G23</f>
        <v>0.41729282108114762</v>
      </c>
      <c r="H57" s="92">
        <f t="shared" ref="H57:P57" si="28">H56/H23</f>
        <v>0.41349944960275675</v>
      </c>
      <c r="I57" s="92">
        <f t="shared" si="28"/>
        <v>0.41166495874079478</v>
      </c>
      <c r="J57" s="92">
        <f t="shared" si="28"/>
        <v>0.409499279882171</v>
      </c>
      <c r="K57" s="92">
        <f t="shared" si="28"/>
        <v>0.40767622377296253</v>
      </c>
      <c r="L57" s="92">
        <f t="shared" si="28"/>
        <v>0.40596422941962307</v>
      </c>
      <c r="M57" s="92">
        <f t="shared" si="28"/>
        <v>0.40459828101966699</v>
      </c>
      <c r="N57" s="92">
        <f t="shared" si="28"/>
        <v>0.4028542794498805</v>
      </c>
      <c r="O57" s="92">
        <f t="shared" si="28"/>
        <v>0.40144739869293805</v>
      </c>
      <c r="P57" s="93">
        <f t="shared" si="28"/>
        <v>0.40013369339613658</v>
      </c>
    </row>
    <row r="58" spans="2:16" s="45" customFormat="1" x14ac:dyDescent="0.35"/>
    <row r="59" spans="2:16" s="45" customFormat="1" x14ac:dyDescent="0.35"/>
    <row r="60" spans="2:16" s="45" customFormat="1" x14ac:dyDescent="0.35"/>
    <row r="61" spans="2:16" s="45" customFormat="1" x14ac:dyDescent="0.35"/>
    <row r="62" spans="2:16" s="45" customFormat="1" x14ac:dyDescent="0.35"/>
    <row r="63" spans="2:16" s="45" customFormat="1" x14ac:dyDescent="0.35"/>
    <row r="64" spans="2:16" s="45" customFormat="1" x14ac:dyDescent="0.35"/>
    <row r="65" spans="2:10" s="45" customFormat="1" x14ac:dyDescent="0.35"/>
    <row r="66" spans="2:10" s="45" customFormat="1" x14ac:dyDescent="0.35">
      <c r="B66" s="62"/>
      <c r="H66" s="56"/>
      <c r="I66" s="48"/>
    </row>
    <row r="67" spans="2:10" s="45" customFormat="1" x14ac:dyDescent="0.35">
      <c r="B67" s="74"/>
      <c r="J67" s="56"/>
    </row>
    <row r="68" spans="2:10" s="45" customFormat="1" x14ac:dyDescent="0.35">
      <c r="B68" s="75"/>
    </row>
    <row r="69" spans="2:10" x14ac:dyDescent="0.35">
      <c r="B69" s="75"/>
    </row>
    <row r="70" spans="2:10" x14ac:dyDescent="0.35">
      <c r="B70" s="76"/>
    </row>
    <row r="71" spans="2:10" x14ac:dyDescent="0.35">
      <c r="B71" s="75"/>
    </row>
    <row r="72" spans="2:10" x14ac:dyDescent="0.35">
      <c r="B72" s="74"/>
    </row>
    <row r="73" spans="2:10" x14ac:dyDescent="0.35">
      <c r="B73" s="75"/>
    </row>
    <row r="74" spans="2:10" x14ac:dyDescent="0.35">
      <c r="B74" s="75"/>
    </row>
    <row r="75" spans="2:10" x14ac:dyDescent="0.35">
      <c r="B75" s="76"/>
    </row>
    <row r="76" spans="2:10" x14ac:dyDescent="0.35">
      <c r="B76" s="75"/>
    </row>
    <row r="77" spans="2:10" x14ac:dyDescent="0.35">
      <c r="B77" s="74"/>
    </row>
    <row r="78" spans="2:10" x14ac:dyDescent="0.35">
      <c r="B78" s="75"/>
    </row>
    <row r="79" spans="2:10" x14ac:dyDescent="0.35">
      <c r="B79" s="75"/>
    </row>
    <row r="80" spans="2:10" x14ac:dyDescent="0.35">
      <c r="B80" s="76"/>
    </row>
    <row r="81" spans="2:2" x14ac:dyDescent="0.35">
      <c r="B81" s="76"/>
    </row>
  </sheetData>
  <dataValidations count="1">
    <dataValidation type="list" allowBlank="1" showInputMessage="1" showErrorMessage="1" sqref="C4" xr:uid="{A82DD5E8-052A-4A4A-9465-DCD90B9B546C}">
      <formula1>"1,2,3,4,5,6,7,8,9,12"</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6C936C-D381-4C3E-A8CF-BAD3B3B1E78F}">
  <dimension ref="B1:C22"/>
  <sheetViews>
    <sheetView workbookViewId="0">
      <selection activeCell="C20" sqref="C20"/>
    </sheetView>
  </sheetViews>
  <sheetFormatPr defaultRowHeight="15.5" x14ac:dyDescent="0.35"/>
  <cols>
    <col min="1" max="1" width="1.58203125" style="1" customWidth="1"/>
    <col min="2" max="2" width="51.83203125" style="1" bestFit="1" customWidth="1"/>
    <col min="3" max="3" width="154.5" style="1" customWidth="1"/>
    <col min="4" max="16384" width="8.6640625" style="1"/>
  </cols>
  <sheetData>
    <row r="1" spans="2:3" ht="43" thickBot="1" x14ac:dyDescent="1.1499999999999999">
      <c r="B1" s="44" t="s">
        <v>39</v>
      </c>
    </row>
    <row r="2" spans="2:3" x14ac:dyDescent="0.35">
      <c r="B2" s="124" t="s">
        <v>115</v>
      </c>
      <c r="C2" s="125" t="s">
        <v>36</v>
      </c>
    </row>
    <row r="3" spans="2:3" x14ac:dyDescent="0.35">
      <c r="B3" s="5" t="s">
        <v>9</v>
      </c>
      <c r="C3" s="6" t="s">
        <v>46</v>
      </c>
    </row>
    <row r="4" spans="2:3" x14ac:dyDescent="0.35">
      <c r="B4" s="5" t="s">
        <v>2</v>
      </c>
      <c r="C4" s="6" t="s">
        <v>47</v>
      </c>
    </row>
    <row r="5" spans="2:3" x14ac:dyDescent="0.35">
      <c r="B5" s="5" t="s">
        <v>79</v>
      </c>
      <c r="C5" s="6" t="s">
        <v>48</v>
      </c>
    </row>
    <row r="6" spans="2:3" ht="31" x14ac:dyDescent="0.35">
      <c r="B6" s="5" t="s">
        <v>37</v>
      </c>
      <c r="C6" s="126" t="s">
        <v>49</v>
      </c>
    </row>
    <row r="7" spans="2:3" ht="31" x14ac:dyDescent="0.35">
      <c r="B7" s="5" t="s">
        <v>38</v>
      </c>
      <c r="C7" s="126" t="s">
        <v>50</v>
      </c>
    </row>
    <row r="8" spans="2:3" x14ac:dyDescent="0.35">
      <c r="B8" s="5" t="s">
        <v>57</v>
      </c>
      <c r="C8" s="6" t="s">
        <v>58</v>
      </c>
    </row>
    <row r="9" spans="2:3" x14ac:dyDescent="0.35">
      <c r="B9" s="5" t="s">
        <v>56</v>
      </c>
      <c r="C9" s="6" t="s">
        <v>51</v>
      </c>
    </row>
    <row r="10" spans="2:3" x14ac:dyDescent="0.35">
      <c r="B10" s="5" t="s">
        <v>59</v>
      </c>
      <c r="C10" s="6" t="s">
        <v>60</v>
      </c>
    </row>
    <row r="11" spans="2:3" x14ac:dyDescent="0.35">
      <c r="B11" s="5" t="s">
        <v>54</v>
      </c>
      <c r="C11" s="6" t="s">
        <v>52</v>
      </c>
    </row>
    <row r="12" spans="2:3" x14ac:dyDescent="0.35">
      <c r="B12" s="5" t="s">
        <v>55</v>
      </c>
      <c r="C12" s="6" t="s">
        <v>53</v>
      </c>
    </row>
    <row r="13" spans="2:3" x14ac:dyDescent="0.35">
      <c r="B13" s="5" t="s">
        <v>61</v>
      </c>
      <c r="C13" s="6" t="s">
        <v>62</v>
      </c>
    </row>
    <row r="14" spans="2:3" x14ac:dyDescent="0.35">
      <c r="B14" s="5" t="s">
        <v>63</v>
      </c>
      <c r="C14" s="6" t="s">
        <v>64</v>
      </c>
    </row>
    <row r="15" spans="2:3" x14ac:dyDescent="0.35">
      <c r="B15" s="5" t="s">
        <v>65</v>
      </c>
      <c r="C15" s="6" t="s">
        <v>66</v>
      </c>
    </row>
    <row r="16" spans="2:3" x14ac:dyDescent="0.35">
      <c r="B16" s="5" t="s">
        <v>67</v>
      </c>
      <c r="C16" s="6" t="s">
        <v>68</v>
      </c>
    </row>
    <row r="17" spans="2:3" x14ac:dyDescent="0.35">
      <c r="B17" s="5" t="s">
        <v>69</v>
      </c>
      <c r="C17" s="6" t="s">
        <v>70</v>
      </c>
    </row>
    <row r="18" spans="2:3" x14ac:dyDescent="0.35">
      <c r="B18" s="5" t="s">
        <v>71</v>
      </c>
      <c r="C18" s="6" t="s">
        <v>72</v>
      </c>
    </row>
    <row r="19" spans="2:3" x14ac:dyDescent="0.35">
      <c r="B19" s="5" t="s">
        <v>73</v>
      </c>
      <c r="C19" s="6" t="s">
        <v>74</v>
      </c>
    </row>
    <row r="20" spans="2:3" ht="31" x14ac:dyDescent="0.35">
      <c r="B20" s="5" t="s">
        <v>116</v>
      </c>
      <c r="C20" s="126" t="s">
        <v>117</v>
      </c>
    </row>
    <row r="21" spans="2:3" x14ac:dyDescent="0.35">
      <c r="B21" s="5" t="s">
        <v>118</v>
      </c>
      <c r="C21" s="6" t="s">
        <v>119</v>
      </c>
    </row>
    <row r="22" spans="2:3" ht="16" thickBot="1" x14ac:dyDescent="0.4">
      <c r="B22" s="127" t="s">
        <v>112</v>
      </c>
      <c r="C22" s="128" t="s">
        <v>121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Cover</vt:lpstr>
      <vt:lpstr>Cash Flow Projection - Basic</vt:lpstr>
      <vt:lpstr>Glossary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Bertran Moreno Torras</cp:lastModifiedBy>
  <dcterms:created xsi:type="dcterms:W3CDTF">2021-11-09T22:19:25Z</dcterms:created>
  <dcterms:modified xsi:type="dcterms:W3CDTF">2025-01-14T10:32:42Z</dcterms:modified>
</cp:coreProperties>
</file>