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4cfc0e3f538f33db/Desktop/"/>
    </mc:Choice>
  </mc:AlternateContent>
  <xr:revisionPtr revIDLastSave="4082" documentId="8_{048F6C16-578C-461F-9FA8-DDCA015D3989}" xr6:coauthVersionLast="47" xr6:coauthVersionMax="47" xr10:uidLastSave="{981F609C-111E-4C02-A74E-BA1BF08A4062}"/>
  <bookViews>
    <workbookView xWindow="-110" yWindow="-110" windowWidth="19420" windowHeight="11020" xr2:uid="{F3980A64-5026-406E-B7E3-0D1FBAA833CD}"/>
  </bookViews>
  <sheets>
    <sheet name="Cover" sheetId="12" r:id="rId1"/>
    <sheet name="Summary" sheetId="1" r:id="rId2"/>
    <sheet name="Operating Cash Flow" sheetId="3" r:id="rId3"/>
    <sheet name="Cash Flow Projection - Advanced" sheetId="2" r:id="rId4"/>
    <sheet name="F&amp;B" sheetId="4" r:id="rId5"/>
    <sheet name="OOD" sheetId="5" r:id="rId6"/>
    <sheet name="Other Expenses" sheetId="6" r:id="rId7"/>
    <sheet name="Waterfall - IRR Hurdles" sheetId="8" r:id="rId8"/>
    <sheet name="Visualisations" sheetId="10" r:id="rId9"/>
    <sheet name="Glossary" sheetId="14" r:id="rId10"/>
    <sheet name="Cash Flow Projection - Basic"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3" l="1"/>
  <c r="K32" i="3"/>
  <c r="J32" i="3"/>
  <c r="I32" i="3"/>
  <c r="H32" i="3"/>
  <c r="G32" i="3"/>
  <c r="F32" i="3"/>
  <c r="E32" i="3"/>
  <c r="D32" i="3"/>
  <c r="C32" i="3"/>
  <c r="M70" i="2" l="1"/>
  <c r="L70" i="2"/>
  <c r="K70" i="2"/>
  <c r="J70" i="2"/>
  <c r="I70" i="2"/>
  <c r="H70" i="2"/>
  <c r="G70" i="2"/>
  <c r="F70" i="2"/>
  <c r="E70" i="2"/>
  <c r="D70" i="2"/>
  <c r="E73" i="2"/>
  <c r="F73" i="2"/>
  <c r="G73" i="2"/>
  <c r="H73" i="2" s="1"/>
  <c r="I73" i="2" s="1"/>
  <c r="J73" i="2" s="1"/>
  <c r="K73" i="2" s="1"/>
  <c r="L73" i="2" s="1"/>
  <c r="M73" i="2" s="1"/>
  <c r="D73" i="2"/>
  <c r="C73" i="2"/>
  <c r="O36" i="13"/>
  <c r="N36" i="13"/>
  <c r="L36" i="13"/>
  <c r="K36" i="13"/>
  <c r="G36" i="13"/>
  <c r="P35" i="13"/>
  <c r="N35" i="13"/>
  <c r="M35" i="13"/>
  <c r="I35" i="13"/>
  <c r="H35" i="13"/>
  <c r="P34" i="13"/>
  <c r="O34" i="13"/>
  <c r="L34" i="13"/>
  <c r="I34" i="13"/>
  <c r="H34" i="13"/>
  <c r="G34" i="13"/>
  <c r="P29" i="13"/>
  <c r="P36" i="13" s="1"/>
  <c r="O29" i="13"/>
  <c r="N29" i="13"/>
  <c r="M29" i="13"/>
  <c r="M36" i="13" s="1"/>
  <c r="L29" i="13"/>
  <c r="K29" i="13"/>
  <c r="J29" i="13"/>
  <c r="J36" i="13" s="1"/>
  <c r="I29" i="13"/>
  <c r="I36" i="13" s="1"/>
  <c r="H29" i="13"/>
  <c r="H36" i="13" s="1"/>
  <c r="G29" i="13"/>
  <c r="P28" i="13"/>
  <c r="O28" i="13"/>
  <c r="O35" i="13" s="1"/>
  <c r="N28" i="13"/>
  <c r="M28" i="13"/>
  <c r="L28" i="13"/>
  <c r="L35" i="13" s="1"/>
  <c r="K28" i="13"/>
  <c r="K35" i="13" s="1"/>
  <c r="J28" i="13"/>
  <c r="J35" i="13" s="1"/>
  <c r="I28" i="13"/>
  <c r="H28" i="13"/>
  <c r="G28" i="13"/>
  <c r="G35" i="13" s="1"/>
  <c r="P27" i="13"/>
  <c r="O27" i="13"/>
  <c r="N27" i="13"/>
  <c r="N34" i="13" s="1"/>
  <c r="M27" i="13"/>
  <c r="M34" i="13" s="1"/>
  <c r="L27" i="13"/>
  <c r="K27" i="13"/>
  <c r="K34" i="13" s="1"/>
  <c r="J27" i="13"/>
  <c r="J34" i="13" s="1"/>
  <c r="I27" i="13"/>
  <c r="H27" i="13"/>
  <c r="G27" i="13"/>
  <c r="G16" i="13"/>
  <c r="H15" i="13"/>
  <c r="H16" i="13" s="1"/>
  <c r="F8" i="13"/>
  <c r="F7" i="13"/>
  <c r="F56" i="13" s="1"/>
  <c r="C7" i="13"/>
  <c r="F3" i="13"/>
  <c r="C3" i="13"/>
  <c r="G4" i="13" s="1"/>
  <c r="G5" i="13" s="1"/>
  <c r="G10" i="13" l="1"/>
  <c r="G13" i="13" s="1"/>
  <c r="H4" i="13"/>
  <c r="H5" i="13" s="1"/>
  <c r="I15" i="13"/>
  <c r="J15" i="13" l="1"/>
  <c r="I16" i="13"/>
  <c r="I4" i="13"/>
  <c r="I5" i="13" s="1"/>
  <c r="H10" i="13"/>
  <c r="H13" i="13" s="1"/>
  <c r="G14" i="13"/>
  <c r="G19" i="13"/>
  <c r="G26" i="13" l="1"/>
  <c r="G30" i="13" s="1"/>
  <c r="G33" i="13"/>
  <c r="G37" i="13" s="1"/>
  <c r="G41" i="13" s="1"/>
  <c r="G23" i="13"/>
  <c r="H14" i="13"/>
  <c r="H19" i="13"/>
  <c r="J4" i="13"/>
  <c r="J5" i="13" s="1"/>
  <c r="I10" i="13"/>
  <c r="I13" i="13" s="1"/>
  <c r="I14" i="13" s="1"/>
  <c r="K15" i="13"/>
  <c r="J16" i="13"/>
  <c r="I19" i="13" l="1"/>
  <c r="G45" i="13"/>
  <c r="G54" i="13"/>
  <c r="K4" i="13"/>
  <c r="K5" i="13" s="1"/>
  <c r="J10" i="13"/>
  <c r="J13" i="13" s="1"/>
  <c r="J14" i="13" s="1"/>
  <c r="G42" i="13"/>
  <c r="G46" i="13"/>
  <c r="H26" i="13"/>
  <c r="H30" i="13" s="1"/>
  <c r="H23" i="13"/>
  <c r="K16" i="13"/>
  <c r="L15" i="13"/>
  <c r="K10" i="13" l="1"/>
  <c r="K13" i="13" s="1"/>
  <c r="K14" i="13" s="1"/>
  <c r="L4" i="13"/>
  <c r="L5" i="13" s="1"/>
  <c r="L16" i="13"/>
  <c r="M15" i="13"/>
  <c r="J19" i="13"/>
  <c r="H54" i="13"/>
  <c r="H45" i="13"/>
  <c r="H33" i="13"/>
  <c r="H37" i="13" s="1"/>
  <c r="H41" i="13" s="1"/>
  <c r="K19" i="13"/>
  <c r="G47" i="13"/>
  <c r="I26" i="13"/>
  <c r="I30" i="13" s="1"/>
  <c r="I23" i="13"/>
  <c r="I33" i="13"/>
  <c r="I37" i="13" s="1"/>
  <c r="I41" i="13" s="1"/>
  <c r="H42" i="13" l="1"/>
  <c r="H46" i="13"/>
  <c r="I42" i="13"/>
  <c r="I46" i="13"/>
  <c r="I54" i="13"/>
  <c r="I45" i="13"/>
  <c r="M4" i="13"/>
  <c r="M5" i="13" s="1"/>
  <c r="L10" i="13"/>
  <c r="L13" i="13" s="1"/>
  <c r="L14" i="13" s="1"/>
  <c r="H47" i="13"/>
  <c r="H49" i="13" s="1"/>
  <c r="J23" i="13"/>
  <c r="J33" i="13"/>
  <c r="J37" i="13" s="1"/>
  <c r="J41" i="13" s="1"/>
  <c r="J26" i="13"/>
  <c r="J30" i="13" s="1"/>
  <c r="N15" i="13"/>
  <c r="M16" i="13"/>
  <c r="G53" i="13"/>
  <c r="G56" i="13" s="1"/>
  <c r="G49" i="13"/>
  <c r="K23" i="13"/>
  <c r="K26" i="13"/>
  <c r="K30" i="13" s="1"/>
  <c r="J54" i="13" l="1"/>
  <c r="J45" i="13"/>
  <c r="K33" i="13"/>
  <c r="K37" i="13" s="1"/>
  <c r="K41" i="13" s="1"/>
  <c r="H53" i="13"/>
  <c r="H56" i="13" s="1"/>
  <c r="H57" i="13" s="1"/>
  <c r="I47" i="13"/>
  <c r="N4" i="13"/>
  <c r="N5" i="13" s="1"/>
  <c r="M10" i="13"/>
  <c r="M13" i="13" s="1"/>
  <c r="M14" i="13" s="1"/>
  <c r="N16" i="13"/>
  <c r="O15" i="13"/>
  <c r="J46" i="13"/>
  <c r="J42" i="13"/>
  <c r="K54" i="13"/>
  <c r="K45" i="13"/>
  <c r="G57" i="13"/>
  <c r="L19" i="13"/>
  <c r="L23" i="13" l="1"/>
  <c r="L26" i="13"/>
  <c r="L30" i="13" s="1"/>
  <c r="I53" i="13"/>
  <c r="I56" i="13" s="1"/>
  <c r="I49" i="13"/>
  <c r="N19" i="13"/>
  <c r="M19" i="13"/>
  <c r="N10" i="13"/>
  <c r="N13" i="13" s="1"/>
  <c r="N14" i="13" s="1"/>
  <c r="O4" i="13"/>
  <c r="O5" i="13" s="1"/>
  <c r="K46" i="13"/>
  <c r="K47" i="13" s="1"/>
  <c r="K42" i="13"/>
  <c r="J47" i="13"/>
  <c r="O16" i="13"/>
  <c r="P15" i="13"/>
  <c r="P16" i="13" s="1"/>
  <c r="K49" i="13" l="1"/>
  <c r="K53" i="13"/>
  <c r="K56" i="13" s="1"/>
  <c r="K57" i="13" s="1"/>
  <c r="I57" i="13"/>
  <c r="M23" i="13"/>
  <c r="M26" i="13"/>
  <c r="M30" i="13" s="1"/>
  <c r="N26" i="13"/>
  <c r="N30" i="13" s="1"/>
  <c r="N33" i="13"/>
  <c r="N37" i="13" s="1"/>
  <c r="N41" i="13" s="1"/>
  <c r="N23" i="13"/>
  <c r="L54" i="13"/>
  <c r="L45" i="13"/>
  <c r="J53" i="13"/>
  <c r="J56" i="13" s="1"/>
  <c r="J49" i="13"/>
  <c r="O10" i="13"/>
  <c r="O13" i="13" s="1"/>
  <c r="O14" i="13" s="1"/>
  <c r="P4" i="13"/>
  <c r="P5" i="13" s="1"/>
  <c r="P10" i="13" s="1"/>
  <c r="P13" i="13" s="1"/>
  <c r="P14" i="13" s="1"/>
  <c r="L33" i="13"/>
  <c r="L37" i="13" s="1"/>
  <c r="L41" i="13" s="1"/>
  <c r="M33" i="13" l="1"/>
  <c r="M37" i="13" s="1"/>
  <c r="M41" i="13" s="1"/>
  <c r="M54" i="13"/>
  <c r="M45" i="13"/>
  <c r="L47" i="13"/>
  <c r="L53" i="13" s="1"/>
  <c r="L56" i="13" s="1"/>
  <c r="O19" i="13"/>
  <c r="P19" i="13"/>
  <c r="N45" i="13"/>
  <c r="N47" i="13" s="1"/>
  <c r="N49" i="13" s="1"/>
  <c r="N54" i="13"/>
  <c r="J57" i="13"/>
  <c r="L46" i="13"/>
  <c r="L49" i="13"/>
  <c r="L42" i="13"/>
  <c r="N42" i="13"/>
  <c r="N46" i="13"/>
  <c r="L57" i="13" l="1"/>
  <c r="P26" i="13"/>
  <c r="P30" i="13" s="1"/>
  <c r="P33" i="13"/>
  <c r="P37" i="13" s="1"/>
  <c r="P41" i="13" s="1"/>
  <c r="P23" i="13"/>
  <c r="N53" i="13"/>
  <c r="N56" i="13" s="1"/>
  <c r="N57" i="13" s="1"/>
  <c r="O26" i="13"/>
  <c r="O30" i="13" s="1"/>
  <c r="O33" i="13"/>
  <c r="O37" i="13" s="1"/>
  <c r="O41" i="13" s="1"/>
  <c r="O23" i="13"/>
  <c r="M46" i="13"/>
  <c r="M47" i="13" s="1"/>
  <c r="M42" i="13"/>
  <c r="M53" i="13" l="1"/>
  <c r="M56" i="13" s="1"/>
  <c r="M49" i="13"/>
  <c r="P42" i="13"/>
  <c r="P46" i="13"/>
  <c r="P54" i="13"/>
  <c r="P45" i="13"/>
  <c r="P47" i="13" s="1"/>
  <c r="P49" i="13" s="1"/>
  <c r="O45" i="13"/>
  <c r="O54" i="13"/>
  <c r="O42" i="13"/>
  <c r="O46" i="13"/>
  <c r="P53" i="13" l="1"/>
  <c r="P56" i="13" s="1"/>
  <c r="P57" i="13" s="1"/>
  <c r="O47" i="13"/>
  <c r="M57" i="13"/>
  <c r="O53" i="13" l="1"/>
  <c r="O56" i="13" s="1"/>
  <c r="O49" i="13"/>
  <c r="O57" i="13" l="1"/>
  <c r="C25" i="13"/>
  <c r="C27" i="13"/>
  <c r="C28" i="13" s="1"/>
  <c r="C26" i="13"/>
  <c r="E51" i="8" l="1"/>
  <c r="C18" i="1"/>
  <c r="C44" i="6"/>
  <c r="C17" i="1"/>
  <c r="L33" i="1"/>
  <c r="H94" i="4"/>
  <c r="H93" i="4"/>
  <c r="H92" i="4"/>
  <c r="H91" i="4"/>
  <c r="J84" i="4"/>
  <c r="K84" i="4" s="1"/>
  <c r="L84" i="4" s="1"/>
  <c r="M84" i="4" s="1"/>
  <c r="N84" i="4" s="1"/>
  <c r="O84" i="4" s="1"/>
  <c r="P84" i="4" s="1"/>
  <c r="Q84" i="4" s="1"/>
  <c r="R84" i="4" s="1"/>
  <c r="I84" i="4"/>
  <c r="H69" i="4"/>
  <c r="H68" i="4"/>
  <c r="H67" i="4"/>
  <c r="H66" i="4"/>
  <c r="J59" i="4"/>
  <c r="K59" i="4" s="1"/>
  <c r="L59" i="4" s="1"/>
  <c r="M59" i="4" s="1"/>
  <c r="N59" i="4" s="1"/>
  <c r="O59" i="4" s="1"/>
  <c r="P59" i="4" s="1"/>
  <c r="Q59" i="4" s="1"/>
  <c r="R59" i="4" s="1"/>
  <c r="I59" i="4"/>
  <c r="I34" i="4"/>
  <c r="J34" i="4" s="1"/>
  <c r="K34" i="4" s="1"/>
  <c r="L34" i="4" s="1"/>
  <c r="M34" i="4" s="1"/>
  <c r="N34" i="4" s="1"/>
  <c r="O34" i="4" s="1"/>
  <c r="P34" i="4" s="1"/>
  <c r="Q34" i="4" s="1"/>
  <c r="R34" i="4" s="1"/>
  <c r="K9" i="4"/>
  <c r="L9" i="4" s="1"/>
  <c r="M9" i="4" s="1"/>
  <c r="N9" i="4" s="1"/>
  <c r="O9" i="4" s="1"/>
  <c r="P9" i="4" s="1"/>
  <c r="Q9" i="4" s="1"/>
  <c r="R9" i="4" s="1"/>
  <c r="J9" i="4"/>
  <c r="I9" i="4"/>
  <c r="F21" i="4"/>
  <c r="E21" i="4"/>
  <c r="D21" i="4"/>
  <c r="C21" i="4"/>
  <c r="C30" i="1"/>
  <c r="C38" i="1" s="1"/>
  <c r="H44" i="4"/>
  <c r="H43" i="4"/>
  <c r="H42" i="4"/>
  <c r="H41" i="4"/>
  <c r="H19" i="4"/>
  <c r="H18" i="4"/>
  <c r="H17" i="4"/>
  <c r="H16" i="4"/>
  <c r="F4" i="2"/>
  <c r="F53" i="2" s="1"/>
  <c r="E4" i="2"/>
  <c r="D4" i="2"/>
  <c r="D53" i="2" s="1"/>
  <c r="E53" i="2"/>
  <c r="E52" i="2"/>
  <c r="C40" i="1" l="1"/>
  <c r="G4" i="2"/>
  <c r="H4" i="2" s="1"/>
  <c r="F52" i="2"/>
  <c r="F54" i="2" s="1"/>
  <c r="D52" i="2"/>
  <c r="D54" i="2" s="1"/>
  <c r="E54" i="2"/>
  <c r="C10" i="1"/>
  <c r="C24" i="1"/>
  <c r="B3" i="1"/>
  <c r="I4" i="2" l="1"/>
  <c r="C7" i="8"/>
  <c r="J4" i="2" l="1"/>
  <c r="I22" i="1"/>
  <c r="H22" i="1" s="1"/>
  <c r="K4" i="2" l="1"/>
  <c r="J52" i="2"/>
  <c r="J53" i="2"/>
  <c r="C9" i="2"/>
  <c r="C8" i="2"/>
  <c r="B47" i="2"/>
  <c r="B46" i="2"/>
  <c r="B31" i="2"/>
  <c r="B30" i="2"/>
  <c r="B29" i="2"/>
  <c r="B25" i="2"/>
  <c r="B24" i="2"/>
  <c r="B23" i="2"/>
  <c r="B19" i="2"/>
  <c r="B18" i="2"/>
  <c r="B17" i="2"/>
  <c r="J54" i="2" l="1"/>
  <c r="L4" i="2"/>
  <c r="K53" i="2"/>
  <c r="K52" i="2"/>
  <c r="C39" i="1"/>
  <c r="C57" i="2"/>
  <c r="C26" i="1"/>
  <c r="C41" i="1"/>
  <c r="G43" i="6"/>
  <c r="H43" i="6"/>
  <c r="I43" i="6"/>
  <c r="J43" i="6"/>
  <c r="K43" i="6"/>
  <c r="L43" i="6"/>
  <c r="M43" i="6"/>
  <c r="N43" i="6"/>
  <c r="O43" i="6"/>
  <c r="F43" i="6"/>
  <c r="C27" i="1" l="1"/>
  <c r="I23" i="1" s="1"/>
  <c r="H23" i="1" s="1"/>
  <c r="C10" i="2"/>
  <c r="C11" i="2" s="1"/>
  <c r="I24" i="1"/>
  <c r="H24" i="1" s="1"/>
  <c r="K54" i="2"/>
  <c r="M4" i="2"/>
  <c r="L53" i="2"/>
  <c r="L52" i="2"/>
  <c r="F12" i="6"/>
  <c r="C65" i="3" s="1"/>
  <c r="F11" i="6"/>
  <c r="F10" i="6"/>
  <c r="C63" i="3" s="1"/>
  <c r="F7" i="6"/>
  <c r="L54" i="2" l="1"/>
  <c r="G10" i="6"/>
  <c r="H10" i="6" s="1"/>
  <c r="G12" i="6"/>
  <c r="G7" i="6"/>
  <c r="C60" i="3"/>
  <c r="G11" i="6"/>
  <c r="C64" i="3"/>
  <c r="D63" i="3" l="1"/>
  <c r="H7" i="6"/>
  <c r="D60" i="3"/>
  <c r="H11" i="6"/>
  <c r="D64" i="3"/>
  <c r="I10" i="6"/>
  <c r="E63" i="3"/>
  <c r="H12" i="6"/>
  <c r="D65" i="3"/>
  <c r="C26" i="3"/>
  <c r="D26" i="3"/>
  <c r="E26" i="3"/>
  <c r="F26" i="3"/>
  <c r="G26" i="3"/>
  <c r="H26" i="3"/>
  <c r="I26" i="3"/>
  <c r="J26" i="3"/>
  <c r="K26" i="3"/>
  <c r="L26" i="3"/>
  <c r="C27" i="3"/>
  <c r="D27" i="3"/>
  <c r="E27" i="3"/>
  <c r="F27" i="3"/>
  <c r="G27" i="3"/>
  <c r="H27" i="3"/>
  <c r="I27" i="3"/>
  <c r="J27" i="3"/>
  <c r="K27" i="3"/>
  <c r="L27" i="3"/>
  <c r="C28" i="3"/>
  <c r="D28" i="3"/>
  <c r="E28" i="3"/>
  <c r="F28" i="3"/>
  <c r="G28" i="3"/>
  <c r="H28" i="3"/>
  <c r="I28" i="3"/>
  <c r="J28" i="3"/>
  <c r="K28" i="3"/>
  <c r="L28" i="3"/>
  <c r="D25" i="3"/>
  <c r="E25" i="3"/>
  <c r="F25" i="3"/>
  <c r="G25" i="3"/>
  <c r="H25" i="3"/>
  <c r="I25" i="3"/>
  <c r="J25" i="3"/>
  <c r="K25" i="3"/>
  <c r="L25" i="3"/>
  <c r="C25" i="3"/>
  <c r="F17" i="5"/>
  <c r="C40" i="3" s="1"/>
  <c r="G17" i="5"/>
  <c r="D40" i="3" s="1"/>
  <c r="H17" i="5"/>
  <c r="E40" i="3" s="1"/>
  <c r="I17" i="5"/>
  <c r="F40" i="3" s="1"/>
  <c r="J17" i="5"/>
  <c r="G40" i="3" s="1"/>
  <c r="K17" i="5"/>
  <c r="H40" i="3" s="1"/>
  <c r="L17" i="5"/>
  <c r="I40" i="3" s="1"/>
  <c r="M17" i="5"/>
  <c r="J40" i="3" s="1"/>
  <c r="N17" i="5"/>
  <c r="K40" i="3" s="1"/>
  <c r="O17" i="5"/>
  <c r="L40" i="3" s="1"/>
  <c r="F18" i="5"/>
  <c r="C41" i="3" s="1"/>
  <c r="G18" i="5"/>
  <c r="D41" i="3" s="1"/>
  <c r="H18" i="5"/>
  <c r="E41" i="3" s="1"/>
  <c r="I18" i="5"/>
  <c r="F41" i="3" s="1"/>
  <c r="J18" i="5"/>
  <c r="G41" i="3" s="1"/>
  <c r="K18" i="5"/>
  <c r="H41" i="3" s="1"/>
  <c r="L18" i="5"/>
  <c r="I41" i="3" s="1"/>
  <c r="M18" i="5"/>
  <c r="J41" i="3" s="1"/>
  <c r="N18" i="5"/>
  <c r="K41" i="3" s="1"/>
  <c r="O18" i="5"/>
  <c r="L41" i="3" s="1"/>
  <c r="F19" i="5"/>
  <c r="C42" i="3" s="1"/>
  <c r="G19" i="5"/>
  <c r="D42" i="3" s="1"/>
  <c r="H19" i="5"/>
  <c r="E42" i="3" s="1"/>
  <c r="I19" i="5"/>
  <c r="F42" i="3" s="1"/>
  <c r="J19" i="5"/>
  <c r="G42" i="3" s="1"/>
  <c r="K19" i="5"/>
  <c r="H42" i="3" s="1"/>
  <c r="L19" i="5"/>
  <c r="I42" i="3" s="1"/>
  <c r="M19" i="5"/>
  <c r="J42" i="3" s="1"/>
  <c r="N19" i="5"/>
  <c r="K42" i="3" s="1"/>
  <c r="O19" i="5"/>
  <c r="L42" i="3" s="1"/>
  <c r="G16" i="5"/>
  <c r="D39" i="3" s="1"/>
  <c r="H16" i="5"/>
  <c r="E39" i="3" s="1"/>
  <c r="I16" i="5"/>
  <c r="F39" i="3" s="1"/>
  <c r="J16" i="5"/>
  <c r="G39" i="3" s="1"/>
  <c r="K16" i="5"/>
  <c r="H39" i="3" s="1"/>
  <c r="L16" i="5"/>
  <c r="I39" i="3" s="1"/>
  <c r="M16" i="5"/>
  <c r="J39" i="3" s="1"/>
  <c r="N16" i="5"/>
  <c r="K39" i="3" s="1"/>
  <c r="O16" i="5"/>
  <c r="L39" i="3" s="1"/>
  <c r="F16" i="5"/>
  <c r="C39" i="3" s="1"/>
  <c r="H7" i="5"/>
  <c r="I7" i="5"/>
  <c r="J7" i="5" s="1"/>
  <c r="K7" i="5" s="1"/>
  <c r="L7" i="5" s="1"/>
  <c r="M7" i="5" s="1"/>
  <c r="N7" i="5" s="1"/>
  <c r="O7" i="5" s="1"/>
  <c r="H8" i="5"/>
  <c r="I8" i="5"/>
  <c r="J8" i="5" s="1"/>
  <c r="K8" i="5" s="1"/>
  <c r="L8" i="5" s="1"/>
  <c r="M8" i="5" s="1"/>
  <c r="N8" i="5" s="1"/>
  <c r="O8" i="5" s="1"/>
  <c r="H9" i="5"/>
  <c r="I9" i="5"/>
  <c r="J9" i="5" s="1"/>
  <c r="K9" i="5" s="1"/>
  <c r="L9" i="5" s="1"/>
  <c r="M9" i="5" s="1"/>
  <c r="N9" i="5" s="1"/>
  <c r="O9" i="5" s="1"/>
  <c r="H10" i="5"/>
  <c r="I10" i="5"/>
  <c r="J10" i="5" s="1"/>
  <c r="K10" i="5" s="1"/>
  <c r="L10" i="5" s="1"/>
  <c r="M10" i="5" s="1"/>
  <c r="N10" i="5" s="1"/>
  <c r="O10" i="5" s="1"/>
  <c r="G8" i="5"/>
  <c r="G11" i="5" s="1"/>
  <c r="G9" i="5"/>
  <c r="G10" i="5"/>
  <c r="G7" i="5"/>
  <c r="F11" i="5"/>
  <c r="F8" i="5"/>
  <c r="F9" i="5"/>
  <c r="F10" i="5"/>
  <c r="F7" i="5"/>
  <c r="H79" i="4"/>
  <c r="H54" i="4"/>
  <c r="H29" i="4"/>
  <c r="H4" i="4"/>
  <c r="E38" i="3" l="1"/>
  <c r="L38" i="3"/>
  <c r="F38" i="3"/>
  <c r="D38" i="3"/>
  <c r="C38" i="3"/>
  <c r="I38" i="3"/>
  <c r="J38" i="3"/>
  <c r="G38" i="3"/>
  <c r="H38" i="3"/>
  <c r="I53" i="3"/>
  <c r="J56" i="3"/>
  <c r="L55" i="3"/>
  <c r="D55" i="3"/>
  <c r="F54" i="3"/>
  <c r="H53" i="3"/>
  <c r="I56" i="3"/>
  <c r="K55" i="3"/>
  <c r="C55" i="3"/>
  <c r="E54" i="3"/>
  <c r="G53" i="3"/>
  <c r="H56" i="3"/>
  <c r="J55" i="3"/>
  <c r="L54" i="3"/>
  <c r="D54" i="3"/>
  <c r="F20" i="5"/>
  <c r="F53" i="3"/>
  <c r="G56" i="3"/>
  <c r="I55" i="3"/>
  <c r="K54" i="3"/>
  <c r="C54" i="3"/>
  <c r="K38" i="3"/>
  <c r="C53" i="3"/>
  <c r="E53" i="3"/>
  <c r="F56" i="3"/>
  <c r="H55" i="3"/>
  <c r="J54" i="3"/>
  <c r="L53" i="3"/>
  <c r="D53" i="3"/>
  <c r="E56" i="3"/>
  <c r="G55" i="3"/>
  <c r="I54" i="3"/>
  <c r="H24" i="3"/>
  <c r="C24" i="3"/>
  <c r="E24" i="3"/>
  <c r="I24" i="3"/>
  <c r="L24" i="3"/>
  <c r="D24" i="3"/>
  <c r="G24" i="3"/>
  <c r="K53" i="3"/>
  <c r="L56" i="3"/>
  <c r="D56" i="3"/>
  <c r="F55" i="3"/>
  <c r="H54" i="3"/>
  <c r="K24" i="3"/>
  <c r="F24" i="3"/>
  <c r="J53" i="3"/>
  <c r="K56" i="3"/>
  <c r="C56" i="3"/>
  <c r="E55" i="3"/>
  <c r="G54" i="3"/>
  <c r="J24" i="3"/>
  <c r="I12" i="6"/>
  <c r="E65" i="3"/>
  <c r="J10" i="6"/>
  <c r="F63" i="3"/>
  <c r="I11" i="6"/>
  <c r="E64" i="3"/>
  <c r="I7" i="6"/>
  <c r="E60" i="3"/>
  <c r="G20" i="5"/>
  <c r="D44" i="4"/>
  <c r="D35" i="4" s="1"/>
  <c r="E44" i="4"/>
  <c r="E37" i="4" s="1"/>
  <c r="F44" i="4"/>
  <c r="F35" i="4" s="1"/>
  <c r="C44" i="4"/>
  <c r="C37" i="4" s="1"/>
  <c r="D39" i="4"/>
  <c r="E39" i="4"/>
  <c r="F39" i="4"/>
  <c r="C39" i="4"/>
  <c r="D33" i="4"/>
  <c r="E33" i="4"/>
  <c r="F33" i="4"/>
  <c r="C33" i="4"/>
  <c r="D37" i="4" l="1"/>
  <c r="F52" i="3"/>
  <c r="D52" i="3"/>
  <c r="K52" i="3"/>
  <c r="L52" i="3"/>
  <c r="C52" i="3"/>
  <c r="H52" i="3"/>
  <c r="G52" i="3"/>
  <c r="J52" i="3"/>
  <c r="I52" i="3"/>
  <c r="E52" i="3"/>
  <c r="J7" i="6"/>
  <c r="F60" i="3"/>
  <c r="J11" i="6"/>
  <c r="F64" i="3"/>
  <c r="K10" i="6"/>
  <c r="G63" i="3"/>
  <c r="J12" i="6"/>
  <c r="F65" i="3"/>
  <c r="H20" i="5"/>
  <c r="H11" i="5"/>
  <c r="I11" i="5"/>
  <c r="F34" i="4"/>
  <c r="F36" i="4"/>
  <c r="E36" i="4"/>
  <c r="D36" i="4"/>
  <c r="C34" i="4"/>
  <c r="C36" i="4"/>
  <c r="E34" i="4"/>
  <c r="E35" i="4"/>
  <c r="D34" i="4"/>
  <c r="C35" i="4"/>
  <c r="F37" i="4"/>
  <c r="D23" i="4"/>
  <c r="E23" i="4"/>
  <c r="F23" i="4"/>
  <c r="C23" i="4"/>
  <c r="D16" i="4"/>
  <c r="E16" i="4"/>
  <c r="F16" i="4"/>
  <c r="C16" i="4"/>
  <c r="D10" i="4"/>
  <c r="E10" i="4"/>
  <c r="F10" i="4"/>
  <c r="C10" i="4"/>
  <c r="L10" i="6" l="1"/>
  <c r="H63" i="3"/>
  <c r="K12" i="6"/>
  <c r="G65" i="3"/>
  <c r="K11" i="6"/>
  <c r="G64" i="3"/>
  <c r="K7" i="6"/>
  <c r="G60" i="3"/>
  <c r="I20" i="5"/>
  <c r="J11" i="5"/>
  <c r="C14" i="3"/>
  <c r="D12" i="3"/>
  <c r="E12" i="3" s="1"/>
  <c r="D8" i="3"/>
  <c r="E8" i="3"/>
  <c r="F8" i="3"/>
  <c r="G8" i="3"/>
  <c r="H8" i="3"/>
  <c r="I8" i="3"/>
  <c r="J8" i="3"/>
  <c r="K8" i="3"/>
  <c r="L8" i="3"/>
  <c r="C8" i="3"/>
  <c r="B2" i="3"/>
  <c r="D14" i="3" l="1"/>
  <c r="C6" i="2"/>
  <c r="E15" i="8"/>
  <c r="F15" i="8" s="1"/>
  <c r="B2" i="2"/>
  <c r="B2" i="8" s="1"/>
  <c r="B2" i="6"/>
  <c r="B2" i="5"/>
  <c r="B2" i="4"/>
  <c r="L7" i="6"/>
  <c r="H60" i="3"/>
  <c r="L12" i="6"/>
  <c r="H65" i="3"/>
  <c r="L11" i="6"/>
  <c r="H64" i="3"/>
  <c r="M10" i="6"/>
  <c r="I63" i="3"/>
  <c r="J20" i="5"/>
  <c r="K11" i="5"/>
  <c r="E14" i="3"/>
  <c r="F12" i="3"/>
  <c r="G12" i="3" s="1"/>
  <c r="H12" i="3" s="1"/>
  <c r="I12" i="3" s="1"/>
  <c r="J12" i="3" s="1"/>
  <c r="K12" i="3" s="1"/>
  <c r="L12" i="3" s="1"/>
  <c r="L14" i="3" s="1"/>
  <c r="C5" i="3" l="1"/>
  <c r="C13" i="2"/>
  <c r="I14" i="3"/>
  <c r="F14" i="3"/>
  <c r="J14" i="3"/>
  <c r="K14" i="3"/>
  <c r="G15" i="8"/>
  <c r="F14" i="8"/>
  <c r="C5" i="2"/>
  <c r="D6" i="2"/>
  <c r="G14" i="3"/>
  <c r="H14" i="3"/>
  <c r="N10" i="6"/>
  <c r="J63" i="3"/>
  <c r="M11" i="6"/>
  <c r="I64" i="3"/>
  <c r="M12" i="6"/>
  <c r="I65" i="3"/>
  <c r="M7" i="6"/>
  <c r="I60" i="3"/>
  <c r="K20" i="5"/>
  <c r="L11" i="5"/>
  <c r="D14" i="2" l="1"/>
  <c r="D13" i="2"/>
  <c r="F17" i="6"/>
  <c r="C6" i="3"/>
  <c r="F42" i="6" s="1"/>
  <c r="F6" i="6"/>
  <c r="E6" i="2"/>
  <c r="D5" i="2"/>
  <c r="H15" i="8"/>
  <c r="G14" i="8"/>
  <c r="N12" i="6"/>
  <c r="J65" i="3"/>
  <c r="N11" i="6"/>
  <c r="J64" i="3"/>
  <c r="N7" i="6"/>
  <c r="J60" i="3"/>
  <c r="O10" i="6"/>
  <c r="L63" i="3" s="1"/>
  <c r="K63" i="3"/>
  <c r="L20" i="5"/>
  <c r="M11" i="5"/>
  <c r="D59" i="2" l="1"/>
  <c r="F6" i="2"/>
  <c r="H17" i="6" s="1"/>
  <c r="E14" i="2"/>
  <c r="E59" i="2" s="1"/>
  <c r="E13" i="2"/>
  <c r="D58" i="2"/>
  <c r="D25" i="2"/>
  <c r="N17" i="1" s="1"/>
  <c r="D19" i="2"/>
  <c r="D6" i="3"/>
  <c r="G39" i="6" s="1"/>
  <c r="D18" i="6"/>
  <c r="F18" i="6" s="1"/>
  <c r="I6" i="4"/>
  <c r="F29" i="6"/>
  <c r="F36" i="6"/>
  <c r="D5" i="3"/>
  <c r="C7" i="3"/>
  <c r="C9" i="3" s="1"/>
  <c r="F39" i="6"/>
  <c r="I81" i="4"/>
  <c r="I56" i="4"/>
  <c r="I31" i="4"/>
  <c r="F15" i="5"/>
  <c r="F6" i="5"/>
  <c r="E5" i="2"/>
  <c r="G17" i="6"/>
  <c r="G6" i="6"/>
  <c r="I15" i="8"/>
  <c r="H14" i="8"/>
  <c r="O7" i="6"/>
  <c r="L60" i="3" s="1"/>
  <c r="K60" i="3"/>
  <c r="O11" i="6"/>
  <c r="L64" i="3" s="1"/>
  <c r="K64" i="3"/>
  <c r="O12" i="6"/>
  <c r="L65" i="3" s="1"/>
  <c r="K65" i="3"/>
  <c r="M20" i="5"/>
  <c r="O11" i="5"/>
  <c r="N11" i="5"/>
  <c r="G6" i="2" l="1"/>
  <c r="G5" i="2" s="1"/>
  <c r="F5" i="2"/>
  <c r="P17" i="1"/>
  <c r="H6" i="6"/>
  <c r="J31" i="4"/>
  <c r="G42" i="6"/>
  <c r="J56" i="4"/>
  <c r="J81" i="4"/>
  <c r="J6" i="4"/>
  <c r="G29" i="6"/>
  <c r="E5" i="3"/>
  <c r="E6" i="3"/>
  <c r="H39" i="6" s="1"/>
  <c r="G36" i="6"/>
  <c r="N12" i="1"/>
  <c r="P12" i="1" s="1"/>
  <c r="D31" i="2"/>
  <c r="N22" i="1" s="1"/>
  <c r="P22" i="1" s="1"/>
  <c r="G6" i="5"/>
  <c r="E58" i="2"/>
  <c r="E25" i="2"/>
  <c r="E19" i="2"/>
  <c r="G15" i="5"/>
  <c r="F14" i="2"/>
  <c r="F13" i="2"/>
  <c r="H18" i="6"/>
  <c r="G18" i="6"/>
  <c r="D7" i="3"/>
  <c r="D9" i="3" s="1"/>
  <c r="D11" i="3" s="1"/>
  <c r="C11" i="3"/>
  <c r="C18" i="3"/>
  <c r="J15" i="8"/>
  <c r="I14" i="8"/>
  <c r="I6" i="6"/>
  <c r="I17" i="6"/>
  <c r="I18" i="6" s="1"/>
  <c r="O20" i="5"/>
  <c r="N20" i="5"/>
  <c r="G14" i="2" l="1"/>
  <c r="G59" i="2" s="1"/>
  <c r="G13" i="2"/>
  <c r="H6" i="2"/>
  <c r="H13" i="2" s="1"/>
  <c r="F59" i="2"/>
  <c r="H29" i="6"/>
  <c r="E7" i="3"/>
  <c r="E9" i="3" s="1"/>
  <c r="E11" i="3" s="1"/>
  <c r="F6" i="3"/>
  <c r="I39" i="6" s="1"/>
  <c r="K56" i="4"/>
  <c r="F5" i="3"/>
  <c r="K81" i="4"/>
  <c r="H15" i="5"/>
  <c r="H6" i="5"/>
  <c r="K31" i="4"/>
  <c r="H42" i="6"/>
  <c r="K6" i="4"/>
  <c r="H36" i="6"/>
  <c r="J7" i="4"/>
  <c r="O12" i="1"/>
  <c r="D18" i="3"/>
  <c r="G58" i="2"/>
  <c r="G19" i="2"/>
  <c r="G25" i="2"/>
  <c r="F58" i="2"/>
  <c r="F25" i="2"/>
  <c r="F19" i="2"/>
  <c r="E31" i="2"/>
  <c r="F19" i="6"/>
  <c r="F21" i="6"/>
  <c r="D17" i="2"/>
  <c r="N10" i="1" s="1"/>
  <c r="P10" i="1" s="1"/>
  <c r="D23" i="2"/>
  <c r="N15" i="1" s="1"/>
  <c r="P15" i="1" s="1"/>
  <c r="F20" i="6"/>
  <c r="O17" i="1"/>
  <c r="O22" i="1"/>
  <c r="I7" i="4"/>
  <c r="J14" i="8"/>
  <c r="K15" i="8"/>
  <c r="E18" i="3"/>
  <c r="L31" i="4"/>
  <c r="G5" i="3"/>
  <c r="I6" i="5"/>
  <c r="I6" i="2"/>
  <c r="J6" i="6"/>
  <c r="J17" i="6"/>
  <c r="J18" i="6" s="1"/>
  <c r="I15" i="5" l="1"/>
  <c r="G6" i="3"/>
  <c r="J39" i="6" s="1"/>
  <c r="H5" i="2"/>
  <c r="L6" i="4"/>
  <c r="H14" i="2"/>
  <c r="H59" i="2" s="1"/>
  <c r="I36" i="6"/>
  <c r="L81" i="4"/>
  <c r="L56" i="4"/>
  <c r="G20" i="6"/>
  <c r="F7" i="3"/>
  <c r="F9" i="3" s="1"/>
  <c r="F11" i="3" s="1"/>
  <c r="G21" i="6"/>
  <c r="I82" i="4"/>
  <c r="I57" i="4"/>
  <c r="J57" i="4"/>
  <c r="J82" i="4"/>
  <c r="J8" i="4"/>
  <c r="J12" i="4" s="1"/>
  <c r="J17" i="4" s="1"/>
  <c r="J32" i="4"/>
  <c r="I8" i="4"/>
  <c r="I13" i="4" s="1"/>
  <c r="I18" i="4" s="1"/>
  <c r="I32" i="4"/>
  <c r="F31" i="2"/>
  <c r="G19" i="6"/>
  <c r="E17" i="2"/>
  <c r="I29" i="6"/>
  <c r="I42" i="6"/>
  <c r="H58" i="2"/>
  <c r="H25" i="2"/>
  <c r="H19" i="2"/>
  <c r="I13" i="2"/>
  <c r="I14" i="2"/>
  <c r="I59" i="2" s="1"/>
  <c r="G31" i="2"/>
  <c r="F23" i="6"/>
  <c r="C66" i="3" s="1"/>
  <c r="C46" i="3"/>
  <c r="F17" i="2"/>
  <c r="F23" i="2"/>
  <c r="D46" i="3"/>
  <c r="E23" i="2"/>
  <c r="O10" i="1"/>
  <c r="L15" i="8"/>
  <c r="K14" i="8"/>
  <c r="D29" i="2"/>
  <c r="N20" i="1" s="1"/>
  <c r="P20" i="1" s="1"/>
  <c r="O15" i="1"/>
  <c r="K7" i="4"/>
  <c r="J42" i="6"/>
  <c r="G7" i="3"/>
  <c r="G9" i="3" s="1"/>
  <c r="J36" i="6"/>
  <c r="H6" i="3"/>
  <c r="K39" i="6" s="1"/>
  <c r="J29" i="6"/>
  <c r="M81" i="4"/>
  <c r="J15" i="5"/>
  <c r="M31" i="4"/>
  <c r="J6" i="5"/>
  <c r="M56" i="4"/>
  <c r="M6" i="4"/>
  <c r="H5" i="3"/>
  <c r="J6" i="2"/>
  <c r="K6" i="6"/>
  <c r="K17" i="6"/>
  <c r="K18" i="6" s="1"/>
  <c r="I5" i="2"/>
  <c r="F18" i="3"/>
  <c r="H19" i="6"/>
  <c r="H20" i="6"/>
  <c r="H21" i="6"/>
  <c r="G23" i="6" l="1"/>
  <c r="D66" i="3" s="1"/>
  <c r="I14" i="4"/>
  <c r="I19" i="4" s="1"/>
  <c r="I83" i="4"/>
  <c r="I58" i="4"/>
  <c r="I12" i="4"/>
  <c r="I17" i="4" s="1"/>
  <c r="J14" i="4"/>
  <c r="J19" i="4" s="1"/>
  <c r="J58" i="4"/>
  <c r="J83" i="4"/>
  <c r="K57" i="4"/>
  <c r="K82" i="4"/>
  <c r="K8" i="4"/>
  <c r="K12" i="4" s="1"/>
  <c r="K17" i="4" s="1"/>
  <c r="K32" i="4"/>
  <c r="J11" i="4"/>
  <c r="J16" i="4" s="1"/>
  <c r="J33" i="4"/>
  <c r="J39" i="4" s="1"/>
  <c r="J44" i="4" s="1"/>
  <c r="J13" i="4"/>
  <c r="J18" i="4" s="1"/>
  <c r="I11" i="4"/>
  <c r="I33" i="4"/>
  <c r="I36" i="4" s="1"/>
  <c r="I41" i="4" s="1"/>
  <c r="E29" i="2"/>
  <c r="I58" i="2"/>
  <c r="I25" i="2"/>
  <c r="I19" i="2"/>
  <c r="H31" i="2"/>
  <c r="J13" i="2"/>
  <c r="J14" i="2"/>
  <c r="J59" i="2" s="1"/>
  <c r="G17" i="2"/>
  <c r="G23" i="2"/>
  <c r="H23" i="6"/>
  <c r="E66" i="3" s="1"/>
  <c r="O20" i="1"/>
  <c r="M15" i="8"/>
  <c r="L14" i="8"/>
  <c r="E46" i="3"/>
  <c r="G11" i="3"/>
  <c r="M7" i="4" s="1"/>
  <c r="G18" i="3"/>
  <c r="K36" i="6"/>
  <c r="N6" i="4"/>
  <c r="I5" i="3"/>
  <c r="I6" i="3"/>
  <c r="L39" i="6" s="1"/>
  <c r="K6" i="5"/>
  <c r="N81" i="4"/>
  <c r="K15" i="5"/>
  <c r="K42" i="6"/>
  <c r="N56" i="4"/>
  <c r="H7" i="3"/>
  <c r="H9" i="3" s="1"/>
  <c r="K29" i="6"/>
  <c r="N31" i="4"/>
  <c r="I20" i="6"/>
  <c r="I21" i="6"/>
  <c r="I19" i="6"/>
  <c r="K6" i="2"/>
  <c r="L17" i="6"/>
  <c r="L18" i="6" s="1"/>
  <c r="L6" i="6"/>
  <c r="J5" i="2"/>
  <c r="F29" i="2"/>
  <c r="L7" i="4"/>
  <c r="J38" i="4"/>
  <c r="J43" i="4" s="1"/>
  <c r="J37" i="4" l="1"/>
  <c r="J42" i="4" s="1"/>
  <c r="I37" i="4"/>
  <c r="I42" i="4" s="1"/>
  <c r="I39" i="4"/>
  <c r="I44" i="4" s="1"/>
  <c r="J36" i="4"/>
  <c r="J41" i="4" s="1"/>
  <c r="J45" i="4" s="1"/>
  <c r="K11" i="4"/>
  <c r="K16" i="4" s="1"/>
  <c r="K13" i="4"/>
  <c r="K18" i="4" s="1"/>
  <c r="I38" i="4"/>
  <c r="I43" i="4" s="1"/>
  <c r="I16" i="4"/>
  <c r="I20" i="4" s="1"/>
  <c r="J86" i="4"/>
  <c r="J91" i="4" s="1"/>
  <c r="J88" i="4"/>
  <c r="J93" i="4" s="1"/>
  <c r="J89" i="4"/>
  <c r="J94" i="4" s="1"/>
  <c r="J87" i="4"/>
  <c r="J61" i="4"/>
  <c r="J66" i="4" s="1"/>
  <c r="J62" i="4"/>
  <c r="J67" i="4" s="1"/>
  <c r="J63" i="4"/>
  <c r="J68" i="4" s="1"/>
  <c r="J64" i="4"/>
  <c r="J69" i="4" s="1"/>
  <c r="L57" i="4"/>
  <c r="L82" i="4"/>
  <c r="M82" i="4"/>
  <c r="M57" i="4"/>
  <c r="I61" i="4"/>
  <c r="I66" i="4" s="1"/>
  <c r="I63" i="4"/>
  <c r="I68" i="4" s="1"/>
  <c r="I64" i="4"/>
  <c r="I69" i="4" s="1"/>
  <c r="I62" i="4"/>
  <c r="I67" i="4" s="1"/>
  <c r="K83" i="4"/>
  <c r="K58" i="4"/>
  <c r="I88" i="4"/>
  <c r="I93" i="4" s="1"/>
  <c r="I87" i="4"/>
  <c r="I92" i="4" s="1"/>
  <c r="I86" i="4"/>
  <c r="I91" i="4" s="1"/>
  <c r="I89" i="4"/>
  <c r="I94" i="4" s="1"/>
  <c r="L8" i="4"/>
  <c r="L12" i="4" s="1"/>
  <c r="L17" i="4" s="1"/>
  <c r="L32" i="4"/>
  <c r="M8" i="4"/>
  <c r="M14" i="4" s="1"/>
  <c r="M19" i="4" s="1"/>
  <c r="M32" i="4"/>
  <c r="J20" i="4"/>
  <c r="K14" i="4"/>
  <c r="K19" i="4" s="1"/>
  <c r="K33" i="4"/>
  <c r="J58" i="2"/>
  <c r="J25" i="2"/>
  <c r="J19" i="2"/>
  <c r="I31" i="2"/>
  <c r="K13" i="2"/>
  <c r="K14" i="2"/>
  <c r="K59" i="2" s="1"/>
  <c r="H17" i="2"/>
  <c r="H23" i="2"/>
  <c r="I23" i="6"/>
  <c r="F66" i="3" s="1"/>
  <c r="N15" i="8"/>
  <c r="M14" i="8"/>
  <c r="F46" i="3"/>
  <c r="J19" i="6"/>
  <c r="J20" i="6"/>
  <c r="J21" i="6"/>
  <c r="L6" i="2"/>
  <c r="M17" i="6"/>
  <c r="M18" i="6" s="1"/>
  <c r="M6" i="6"/>
  <c r="K5" i="2"/>
  <c r="H18" i="3"/>
  <c r="H11" i="3"/>
  <c r="L42" i="6"/>
  <c r="O6" i="4"/>
  <c r="I7" i="3"/>
  <c r="I9" i="3" s="1"/>
  <c r="J6" i="3"/>
  <c r="L29" i="6"/>
  <c r="O81" i="4"/>
  <c r="L6" i="5"/>
  <c r="O31" i="4"/>
  <c r="L36" i="6"/>
  <c r="O56" i="4"/>
  <c r="L15" i="5"/>
  <c r="J5" i="3"/>
  <c r="G29" i="2"/>
  <c r="L13" i="4" l="1"/>
  <c r="L18" i="4" s="1"/>
  <c r="L14" i="4"/>
  <c r="L19" i="4" s="1"/>
  <c r="L11" i="4"/>
  <c r="L16" i="4" s="1"/>
  <c r="I45" i="4"/>
  <c r="I50" i="4" s="1"/>
  <c r="K20" i="4"/>
  <c r="K24" i="4" s="1"/>
  <c r="M12" i="4"/>
  <c r="M17" i="4" s="1"/>
  <c r="M11" i="4"/>
  <c r="M16" i="4" s="1"/>
  <c r="M13" i="4"/>
  <c r="M18" i="4" s="1"/>
  <c r="I95" i="4"/>
  <c r="I100" i="4" s="1"/>
  <c r="I70" i="4"/>
  <c r="C22" i="3" s="1"/>
  <c r="J70" i="4"/>
  <c r="J73" i="4" s="1"/>
  <c r="I25" i="4"/>
  <c r="I22" i="4"/>
  <c r="I23" i="4"/>
  <c r="I24" i="4"/>
  <c r="C20" i="3"/>
  <c r="J92" i="4"/>
  <c r="J95" i="4" s="1"/>
  <c r="M33" i="4"/>
  <c r="M36" i="4" s="1"/>
  <c r="M41" i="4" s="1"/>
  <c r="M83" i="4"/>
  <c r="M89" i="4" s="1"/>
  <c r="M94" i="4" s="1"/>
  <c r="M58" i="4"/>
  <c r="M62" i="4" s="1"/>
  <c r="M67" i="4" s="1"/>
  <c r="K61" i="4"/>
  <c r="K66" i="4" s="1"/>
  <c r="K64" i="4"/>
  <c r="K69" i="4" s="1"/>
  <c r="K63" i="4"/>
  <c r="K68" i="4" s="1"/>
  <c r="K62" i="4"/>
  <c r="K67" i="4" s="1"/>
  <c r="K89" i="4"/>
  <c r="K94" i="4" s="1"/>
  <c r="K87" i="4"/>
  <c r="K92" i="4" s="1"/>
  <c r="K88" i="4"/>
  <c r="K93" i="4" s="1"/>
  <c r="K86" i="4"/>
  <c r="K91" i="4" s="1"/>
  <c r="L33" i="4"/>
  <c r="L58" i="4"/>
  <c r="L83" i="4"/>
  <c r="I47" i="4"/>
  <c r="I48" i="4"/>
  <c r="K36" i="4"/>
  <c r="K41" i="4" s="1"/>
  <c r="K39" i="4"/>
  <c r="K44" i="4" s="1"/>
  <c r="K38" i="4"/>
  <c r="K43" i="4" s="1"/>
  <c r="K37" i="4"/>
  <c r="K42" i="4" s="1"/>
  <c r="L20" i="4"/>
  <c r="J24" i="4"/>
  <c r="D20" i="3"/>
  <c r="J23" i="4"/>
  <c r="J25" i="4"/>
  <c r="J22" i="4"/>
  <c r="J31" i="2"/>
  <c r="L14" i="2"/>
  <c r="L59" i="2" s="1"/>
  <c r="L13" i="2"/>
  <c r="K58" i="2"/>
  <c r="K19" i="2"/>
  <c r="K25" i="2"/>
  <c r="I17" i="2"/>
  <c r="I23" i="2"/>
  <c r="J23" i="6"/>
  <c r="G66" i="3" s="1"/>
  <c r="K23" i="4"/>
  <c r="N14" i="8"/>
  <c r="O15" i="8"/>
  <c r="O14" i="8" s="1"/>
  <c r="N7" i="4"/>
  <c r="M39" i="6"/>
  <c r="J48" i="4"/>
  <c r="J47" i="4"/>
  <c r="J49" i="4"/>
  <c r="D21" i="3"/>
  <c r="J50" i="4"/>
  <c r="G46" i="3"/>
  <c r="M38" i="4"/>
  <c r="M43" i="4" s="1"/>
  <c r="H29" i="2"/>
  <c r="I18" i="3"/>
  <c r="I11" i="3"/>
  <c r="K20" i="6"/>
  <c r="K21" i="6"/>
  <c r="K19" i="6"/>
  <c r="M6" i="2"/>
  <c r="N17" i="6"/>
  <c r="N18" i="6" s="1"/>
  <c r="N6" i="6"/>
  <c r="L5" i="2"/>
  <c r="M6" i="5"/>
  <c r="P81" i="4"/>
  <c r="M15" i="5"/>
  <c r="P31" i="4"/>
  <c r="M29" i="6"/>
  <c r="P6" i="4"/>
  <c r="K5" i="3"/>
  <c r="P56" i="4"/>
  <c r="K6" i="3"/>
  <c r="N39" i="6" s="1"/>
  <c r="M36" i="6"/>
  <c r="J7" i="3"/>
  <c r="J9" i="3" s="1"/>
  <c r="J11" i="3" s="1"/>
  <c r="M42" i="6"/>
  <c r="M20" i="4" l="1"/>
  <c r="M23" i="4" s="1"/>
  <c r="I75" i="4"/>
  <c r="J74" i="4"/>
  <c r="M39" i="4"/>
  <c r="M44" i="4" s="1"/>
  <c r="I74" i="4"/>
  <c r="I97" i="4"/>
  <c r="M37" i="4"/>
  <c r="M42" i="4" s="1"/>
  <c r="K22" i="4"/>
  <c r="I49" i="4"/>
  <c r="I51" i="4" s="1"/>
  <c r="K25" i="4"/>
  <c r="E20" i="3"/>
  <c r="C21" i="3"/>
  <c r="J75" i="4"/>
  <c r="J72" i="4"/>
  <c r="J76" i="4" s="1"/>
  <c r="D22" i="3"/>
  <c r="I73" i="4"/>
  <c r="I72" i="4"/>
  <c r="M86" i="4"/>
  <c r="M91" i="4" s="1"/>
  <c r="M88" i="4"/>
  <c r="M93" i="4" s="1"/>
  <c r="M87" i="4"/>
  <c r="M92" i="4" s="1"/>
  <c r="M61" i="4"/>
  <c r="M66" i="4" s="1"/>
  <c r="I26" i="4"/>
  <c r="C34" i="3" s="1"/>
  <c r="C48" i="3" s="1"/>
  <c r="M45" i="4"/>
  <c r="M64" i="4"/>
  <c r="M69" i="4" s="1"/>
  <c r="M63" i="4"/>
  <c r="M68" i="4" s="1"/>
  <c r="I99" i="4"/>
  <c r="C23" i="3"/>
  <c r="I98" i="4"/>
  <c r="D23" i="3"/>
  <c r="J98" i="4"/>
  <c r="J100" i="4"/>
  <c r="J97" i="4"/>
  <c r="J99" i="4"/>
  <c r="K95" i="4"/>
  <c r="K70" i="4"/>
  <c r="L86" i="4"/>
  <c r="L91" i="4" s="1"/>
  <c r="L87" i="4"/>
  <c r="L92" i="4" s="1"/>
  <c r="L88" i="4"/>
  <c r="L93" i="4" s="1"/>
  <c r="L89" i="4"/>
  <c r="L94" i="4" s="1"/>
  <c r="N82" i="4"/>
  <c r="N57" i="4"/>
  <c r="K45" i="4"/>
  <c r="L64" i="4"/>
  <c r="L69" i="4" s="1"/>
  <c r="L62" i="4"/>
  <c r="L67" i="4" s="1"/>
  <c r="L61" i="4"/>
  <c r="L66" i="4" s="1"/>
  <c r="L63" i="4"/>
  <c r="L68" i="4" s="1"/>
  <c r="L38" i="4"/>
  <c r="L43" i="4" s="1"/>
  <c r="L37" i="4"/>
  <c r="L42" i="4" s="1"/>
  <c r="L36" i="4"/>
  <c r="L41" i="4" s="1"/>
  <c r="L39" i="4"/>
  <c r="L44" i="4" s="1"/>
  <c r="J26" i="4"/>
  <c r="D34" i="3" s="1"/>
  <c r="D48" i="3" s="1"/>
  <c r="J51" i="4"/>
  <c r="N8" i="4"/>
  <c r="N32" i="4"/>
  <c r="K31" i="2"/>
  <c r="M14" i="2"/>
  <c r="M59" i="2" s="1"/>
  <c r="M13" i="2"/>
  <c r="L58" i="2"/>
  <c r="L25" i="2"/>
  <c r="L19" i="2"/>
  <c r="J17" i="2"/>
  <c r="J23" i="2"/>
  <c r="K23" i="6"/>
  <c r="H66" i="3" s="1"/>
  <c r="M22" i="4"/>
  <c r="O7" i="4"/>
  <c r="M25" i="4"/>
  <c r="G20" i="3"/>
  <c r="M24" i="4"/>
  <c r="H46" i="3"/>
  <c r="Q81" i="4"/>
  <c r="L5" i="3"/>
  <c r="N42" i="6"/>
  <c r="N36" i="6"/>
  <c r="Q6" i="4"/>
  <c r="Q31" i="4"/>
  <c r="Q56" i="4"/>
  <c r="K7" i="3"/>
  <c r="K9" i="3" s="1"/>
  <c r="N15" i="5"/>
  <c r="N29" i="6"/>
  <c r="L6" i="3"/>
  <c r="O39" i="6" s="1"/>
  <c r="N6" i="5"/>
  <c r="L20" i="6"/>
  <c r="L21" i="6"/>
  <c r="L19" i="6"/>
  <c r="L23" i="4"/>
  <c r="L25" i="4"/>
  <c r="F20" i="3"/>
  <c r="L22" i="4"/>
  <c r="L24" i="4"/>
  <c r="J18" i="3"/>
  <c r="O6" i="6"/>
  <c r="O17" i="6"/>
  <c r="O18" i="6" s="1"/>
  <c r="M5" i="2"/>
  <c r="I29" i="2"/>
  <c r="K26" i="4" l="1"/>
  <c r="D19" i="3"/>
  <c r="E18" i="2" s="1"/>
  <c r="M95" i="4"/>
  <c r="M98" i="4" s="1"/>
  <c r="C19" i="3"/>
  <c r="D18" i="2" s="1"/>
  <c r="M70" i="4"/>
  <c r="M73" i="4" s="1"/>
  <c r="I76" i="4"/>
  <c r="I77" i="4" s="1"/>
  <c r="I27" i="4"/>
  <c r="I101" i="4"/>
  <c r="I102" i="4" s="1"/>
  <c r="J27" i="4"/>
  <c r="L70" i="4"/>
  <c r="L74" i="4" s="1"/>
  <c r="O82" i="4"/>
  <c r="O57" i="4"/>
  <c r="N83" i="4"/>
  <c r="N58" i="4"/>
  <c r="C36" i="3"/>
  <c r="C50" i="3" s="1"/>
  <c r="L45" i="4"/>
  <c r="F22" i="3"/>
  <c r="J101" i="4"/>
  <c r="N14" i="4"/>
  <c r="N19" i="4" s="1"/>
  <c r="L95" i="4"/>
  <c r="K74" i="4"/>
  <c r="E22" i="3"/>
  <c r="K73" i="4"/>
  <c r="K75" i="4"/>
  <c r="K72" i="4"/>
  <c r="K100" i="4"/>
  <c r="K99" i="4"/>
  <c r="E23" i="3"/>
  <c r="K98" i="4"/>
  <c r="K97" i="4"/>
  <c r="N12" i="4"/>
  <c r="N17" i="4" s="1"/>
  <c r="N13" i="4"/>
  <c r="N18" i="4" s="1"/>
  <c r="J77" i="4"/>
  <c r="D36" i="3"/>
  <c r="D50" i="3" s="1"/>
  <c r="D29" i="3"/>
  <c r="G40" i="6" s="1"/>
  <c r="D80" i="3" s="1"/>
  <c r="E46" i="2" s="1"/>
  <c r="J52" i="4"/>
  <c r="D35" i="3"/>
  <c r="L26" i="4"/>
  <c r="I52" i="4"/>
  <c r="C35" i="3"/>
  <c r="C49" i="3" s="1"/>
  <c r="M26" i="4"/>
  <c r="E34" i="3"/>
  <c r="K27" i="4"/>
  <c r="O8" i="4"/>
  <c r="O14" i="4" s="1"/>
  <c r="O19" i="4" s="1"/>
  <c r="O32" i="4"/>
  <c r="K49" i="4"/>
  <c r="K48" i="4"/>
  <c r="K50" i="4"/>
  <c r="K47" i="4"/>
  <c r="E21" i="3"/>
  <c r="N11" i="4"/>
  <c r="N16" i="4" s="1"/>
  <c r="N33" i="4"/>
  <c r="L31" i="2"/>
  <c r="M99" i="4"/>
  <c r="M58" i="2"/>
  <c r="M19" i="2"/>
  <c r="M25" i="2"/>
  <c r="K17" i="2"/>
  <c r="M100" i="4"/>
  <c r="M97" i="4"/>
  <c r="L23" i="6"/>
  <c r="I66" i="3" s="1"/>
  <c r="G23" i="3"/>
  <c r="M72" i="4"/>
  <c r="M74" i="4"/>
  <c r="M75" i="4"/>
  <c r="I46" i="3"/>
  <c r="P7" i="4"/>
  <c r="J29" i="2"/>
  <c r="G21" i="3"/>
  <c r="M48" i="4"/>
  <c r="M47" i="4"/>
  <c r="M50" i="4"/>
  <c r="M49" i="4"/>
  <c r="E20" i="2"/>
  <c r="M20" i="6"/>
  <c r="M21" i="6"/>
  <c r="M19" i="6"/>
  <c r="K18" i="3"/>
  <c r="K11" i="3"/>
  <c r="N11" i="1"/>
  <c r="P11" i="1" s="1"/>
  <c r="O6" i="5"/>
  <c r="R56" i="4"/>
  <c r="O15" i="5"/>
  <c r="L7" i="3"/>
  <c r="L9" i="3" s="1"/>
  <c r="O36" i="6"/>
  <c r="O29" i="6"/>
  <c r="R6" i="4"/>
  <c r="O42" i="6"/>
  <c r="R81" i="4"/>
  <c r="R31" i="4"/>
  <c r="G9" i="6"/>
  <c r="D62" i="3" s="1"/>
  <c r="G22" i="3" l="1"/>
  <c r="C29" i="3"/>
  <c r="C37" i="3"/>
  <c r="C51" i="3" s="1"/>
  <c r="L73" i="4"/>
  <c r="K76" i="4"/>
  <c r="E36" i="3" s="1"/>
  <c r="E50" i="3" s="1"/>
  <c r="L72" i="4"/>
  <c r="L75" i="4"/>
  <c r="L50" i="4"/>
  <c r="L48" i="4"/>
  <c r="F21" i="3"/>
  <c r="L47" i="4"/>
  <c r="L49" i="4"/>
  <c r="P82" i="4"/>
  <c r="P57" i="4"/>
  <c r="M101" i="4"/>
  <c r="O83" i="4"/>
  <c r="O58" i="4"/>
  <c r="K101" i="4"/>
  <c r="J102" i="4"/>
  <c r="D37" i="3"/>
  <c r="D51" i="3" s="1"/>
  <c r="N62" i="4"/>
  <c r="N67" i="4" s="1"/>
  <c r="N64" i="4"/>
  <c r="N69" i="4" s="1"/>
  <c r="N63" i="4"/>
  <c r="N68" i="4" s="1"/>
  <c r="N61" i="4"/>
  <c r="N66" i="4" s="1"/>
  <c r="N87" i="4"/>
  <c r="N92" i="4" s="1"/>
  <c r="N88" i="4"/>
  <c r="N93" i="4" s="1"/>
  <c r="N89" i="4"/>
  <c r="N94" i="4" s="1"/>
  <c r="N86" i="4"/>
  <c r="N91" i="4" s="1"/>
  <c r="N20" i="4"/>
  <c r="N25" i="4" s="1"/>
  <c r="M76" i="4"/>
  <c r="O13" i="4"/>
  <c r="O18" i="4" s="1"/>
  <c r="L100" i="4"/>
  <c r="L97" i="4"/>
  <c r="L98" i="4"/>
  <c r="F23" i="3"/>
  <c r="L99" i="4"/>
  <c r="O11" i="4"/>
  <c r="O16" i="4" s="1"/>
  <c r="G30" i="6"/>
  <c r="D72" i="3" s="1"/>
  <c r="G37" i="6"/>
  <c r="D77" i="3" s="1"/>
  <c r="E43" i="2" s="1"/>
  <c r="G8" i="6"/>
  <c r="D61" i="3" s="1"/>
  <c r="D67" i="3" s="1"/>
  <c r="K51" i="4"/>
  <c r="L27" i="4"/>
  <c r="F34" i="3"/>
  <c r="D49" i="3"/>
  <c r="M51" i="4"/>
  <c r="C33" i="3"/>
  <c r="C47" i="3" s="1"/>
  <c r="P8" i="4"/>
  <c r="P12" i="4" s="1"/>
  <c r="P17" i="4" s="1"/>
  <c r="P32" i="4"/>
  <c r="E19" i="3"/>
  <c r="O12" i="4"/>
  <c r="O17" i="4" s="1"/>
  <c r="O33" i="4"/>
  <c r="N38" i="4"/>
  <c r="N43" i="4" s="1"/>
  <c r="N37" i="4"/>
  <c r="N42" i="4" s="1"/>
  <c r="N36" i="4"/>
  <c r="N41" i="4" s="1"/>
  <c r="N39" i="4"/>
  <c r="N44" i="4" s="1"/>
  <c r="E48" i="3"/>
  <c r="G34" i="3"/>
  <c r="G48" i="3" s="1"/>
  <c r="M27" i="4"/>
  <c r="M31" i="2"/>
  <c r="K23" i="2"/>
  <c r="K29" i="2" s="1"/>
  <c r="L17" i="2"/>
  <c r="L23" i="2"/>
  <c r="N24" i="4"/>
  <c r="M23" i="6"/>
  <c r="J66" i="3" s="1"/>
  <c r="O11" i="1"/>
  <c r="N13" i="1"/>
  <c r="G19" i="3"/>
  <c r="H18" i="2" s="1"/>
  <c r="J46" i="3"/>
  <c r="L11" i="3"/>
  <c r="L18" i="3"/>
  <c r="F37" i="6"/>
  <c r="C77" i="3" s="1"/>
  <c r="F8" i="6"/>
  <c r="F9" i="6"/>
  <c r="C62" i="3" s="1"/>
  <c r="F30" i="6"/>
  <c r="C72" i="3" s="1"/>
  <c r="F40" i="6"/>
  <c r="C80" i="3" s="1"/>
  <c r="Q7" i="4"/>
  <c r="N19" i="6"/>
  <c r="N21" i="6"/>
  <c r="N20" i="6"/>
  <c r="D20" i="2"/>
  <c r="N23" i="4" l="1"/>
  <c r="N22" i="4"/>
  <c r="H20" i="3"/>
  <c r="K77" i="4"/>
  <c r="L76" i="4"/>
  <c r="L77" i="4" s="1"/>
  <c r="P11" i="4"/>
  <c r="P16" i="4" s="1"/>
  <c r="D33" i="3"/>
  <c r="E24" i="2" s="1"/>
  <c r="N95" i="4"/>
  <c r="N99" i="4" s="1"/>
  <c r="P14" i="4"/>
  <c r="P19" i="4" s="1"/>
  <c r="F19" i="3"/>
  <c r="O20" i="4"/>
  <c r="O24" i="4" s="1"/>
  <c r="Q57" i="4"/>
  <c r="Q82" i="4"/>
  <c r="G13" i="6"/>
  <c r="L101" i="4"/>
  <c r="F36" i="3"/>
  <c r="F50" i="3" s="1"/>
  <c r="L51" i="4"/>
  <c r="M77" i="4"/>
  <c r="G36" i="3"/>
  <c r="G50" i="3" s="1"/>
  <c r="E37" i="3"/>
  <c r="E51" i="3" s="1"/>
  <c r="K102" i="4"/>
  <c r="N70" i="4"/>
  <c r="O62" i="4"/>
  <c r="O67" i="4" s="1"/>
  <c r="O64" i="4"/>
  <c r="O69" i="4" s="1"/>
  <c r="O63" i="4"/>
  <c r="O68" i="4" s="1"/>
  <c r="O61" i="4"/>
  <c r="O66" i="4" s="1"/>
  <c r="M102" i="4"/>
  <c r="G37" i="3"/>
  <c r="G51" i="3" s="1"/>
  <c r="N45" i="4"/>
  <c r="P83" i="4"/>
  <c r="P58" i="4"/>
  <c r="O89" i="4"/>
  <c r="O94" i="4" s="1"/>
  <c r="O87" i="4"/>
  <c r="O92" i="4" s="1"/>
  <c r="O88" i="4"/>
  <c r="O93" i="4" s="1"/>
  <c r="O86" i="4"/>
  <c r="O91" i="4" s="1"/>
  <c r="C43" i="3"/>
  <c r="C57" i="3" s="1"/>
  <c r="D24" i="2"/>
  <c r="D30" i="2" s="1"/>
  <c r="N21" i="1" s="1"/>
  <c r="P21" i="1" s="1"/>
  <c r="K52" i="4"/>
  <c r="E35" i="3"/>
  <c r="F48" i="3"/>
  <c r="M52" i="4"/>
  <c r="G35" i="3"/>
  <c r="N26" i="4"/>
  <c r="E29" i="3"/>
  <c r="F18" i="2"/>
  <c r="Q8" i="4"/>
  <c r="Q32" i="4"/>
  <c r="O38" i="4"/>
  <c r="O43" i="4" s="1"/>
  <c r="O36" i="4"/>
  <c r="O41" i="4" s="1"/>
  <c r="O39" i="4"/>
  <c r="O44" i="4" s="1"/>
  <c r="O37" i="4"/>
  <c r="O42" i="4" s="1"/>
  <c r="P13" i="4"/>
  <c r="P18" i="4" s="1"/>
  <c r="P33" i="4"/>
  <c r="M17" i="2"/>
  <c r="M23" i="2"/>
  <c r="N23" i="6"/>
  <c r="K66" i="3" s="1"/>
  <c r="C61" i="3"/>
  <c r="C67" i="3" s="1"/>
  <c r="D35" i="2" s="1"/>
  <c r="F13" i="6"/>
  <c r="D43" i="2"/>
  <c r="N30" i="1" s="1"/>
  <c r="D46" i="2"/>
  <c r="N32" i="1" s="1"/>
  <c r="E35" i="2"/>
  <c r="O13" i="1"/>
  <c r="P13" i="1"/>
  <c r="G29" i="3"/>
  <c r="J37" i="6" s="1"/>
  <c r="G77" i="3" s="1"/>
  <c r="H43" i="2" s="1"/>
  <c r="K46" i="3"/>
  <c r="R7" i="4"/>
  <c r="O19" i="6"/>
  <c r="O20" i="6"/>
  <c r="O21" i="6"/>
  <c r="L29" i="2"/>
  <c r="H20" i="2"/>
  <c r="P20" i="4" l="1"/>
  <c r="N100" i="4"/>
  <c r="H23" i="3"/>
  <c r="N97" i="4"/>
  <c r="D43" i="3"/>
  <c r="D57" i="3" s="1"/>
  <c r="D69" i="3" s="1"/>
  <c r="G31" i="6" s="1"/>
  <c r="D47" i="3"/>
  <c r="O22" i="4"/>
  <c r="N98" i="4"/>
  <c r="N101" i="4" s="1"/>
  <c r="O25" i="4"/>
  <c r="O23" i="4"/>
  <c r="N16" i="1"/>
  <c r="I20" i="3"/>
  <c r="O45" i="4"/>
  <c r="N23" i="1"/>
  <c r="P23" i="1" s="1"/>
  <c r="O70" i="4"/>
  <c r="O74" i="4" s="1"/>
  <c r="G18" i="2"/>
  <c r="G20" i="2" s="1"/>
  <c r="F29" i="3"/>
  <c r="O95" i="4"/>
  <c r="O100" i="4" s="1"/>
  <c r="Q33" i="4"/>
  <c r="Q36" i="4" s="1"/>
  <c r="Q41" i="4" s="1"/>
  <c r="Q58" i="4"/>
  <c r="Q83" i="4"/>
  <c r="F35" i="3"/>
  <c r="L52" i="4"/>
  <c r="H22" i="3"/>
  <c r="N75" i="4"/>
  <c r="N74" i="4"/>
  <c r="N73" i="4"/>
  <c r="N72" i="4"/>
  <c r="F37" i="3"/>
  <c r="F51" i="3" s="1"/>
  <c r="L102" i="4"/>
  <c r="P64" i="4"/>
  <c r="P69" i="4" s="1"/>
  <c r="P61" i="4"/>
  <c r="P66" i="4" s="1"/>
  <c r="P62" i="4"/>
  <c r="P67" i="4" s="1"/>
  <c r="P63" i="4"/>
  <c r="P68" i="4" s="1"/>
  <c r="R57" i="4"/>
  <c r="R82" i="4"/>
  <c r="I23" i="3"/>
  <c r="P89" i="4"/>
  <c r="P94" i="4" s="1"/>
  <c r="P86" i="4"/>
  <c r="P91" i="4" s="1"/>
  <c r="P87" i="4"/>
  <c r="P92" i="4" s="1"/>
  <c r="P88" i="4"/>
  <c r="P93" i="4" s="1"/>
  <c r="O21" i="1"/>
  <c r="D26" i="2"/>
  <c r="D32" i="2" s="1"/>
  <c r="D37" i="2" s="1"/>
  <c r="N26" i="1" s="1"/>
  <c r="E33" i="3"/>
  <c r="E49" i="3"/>
  <c r="G33" i="3"/>
  <c r="G49" i="3"/>
  <c r="E26" i="2"/>
  <c r="E32" i="2" s="1"/>
  <c r="E37" i="2" s="1"/>
  <c r="E30" i="2"/>
  <c r="P22" i="4"/>
  <c r="Q12" i="4"/>
  <c r="Q17" i="4" s="1"/>
  <c r="Q14" i="4"/>
  <c r="Q19" i="4" s="1"/>
  <c r="P37" i="4"/>
  <c r="P42" i="4" s="1"/>
  <c r="P36" i="4"/>
  <c r="P41" i="4" s="1"/>
  <c r="P38" i="4"/>
  <c r="P43" i="4" s="1"/>
  <c r="P39" i="4"/>
  <c r="P44" i="4" s="1"/>
  <c r="H8" i="6"/>
  <c r="H37" i="6"/>
  <c r="E77" i="3" s="1"/>
  <c r="F43" i="2" s="1"/>
  <c r="H30" i="6"/>
  <c r="E72" i="3" s="1"/>
  <c r="H40" i="6"/>
  <c r="E80" i="3" s="1"/>
  <c r="F46" i="2" s="1"/>
  <c r="H9" i="6"/>
  <c r="E62" i="3" s="1"/>
  <c r="P16" i="1"/>
  <c r="O16" i="1"/>
  <c r="N18" i="1"/>
  <c r="F20" i="2"/>
  <c r="Q13" i="4"/>
  <c r="Q18" i="4" s="1"/>
  <c r="R8" i="4"/>
  <c r="R11" i="4" s="1"/>
  <c r="R16" i="4" s="1"/>
  <c r="R32" i="4"/>
  <c r="N49" i="4"/>
  <c r="N47" i="4"/>
  <c r="H21" i="3"/>
  <c r="N48" i="4"/>
  <c r="N50" i="4"/>
  <c r="N27" i="4"/>
  <c r="H34" i="3"/>
  <c r="Q11" i="4"/>
  <c r="Q16" i="4" s="1"/>
  <c r="D73" i="3"/>
  <c r="D74" i="3" s="1"/>
  <c r="D79" i="3" s="1"/>
  <c r="G44" i="6" s="1"/>
  <c r="G46" i="6" s="1"/>
  <c r="D81" i="3" s="1"/>
  <c r="O23" i="6"/>
  <c r="L66" i="3" s="1"/>
  <c r="P30" i="1"/>
  <c r="O30" i="1"/>
  <c r="O32" i="1"/>
  <c r="P32" i="1"/>
  <c r="J20" i="3"/>
  <c r="P23" i="4"/>
  <c r="P25" i="4"/>
  <c r="J30" i="6"/>
  <c r="G72" i="3" s="1"/>
  <c r="J8" i="6"/>
  <c r="J9" i="6"/>
  <c r="G62" i="3" s="1"/>
  <c r="C69" i="3"/>
  <c r="F31" i="6" s="1"/>
  <c r="P24" i="4"/>
  <c r="J40" i="6"/>
  <c r="G80" i="3" s="1"/>
  <c r="H46" i="2" s="1"/>
  <c r="N25" i="1"/>
  <c r="L46" i="3"/>
  <c r="M29" i="2"/>
  <c r="O26" i="4" l="1"/>
  <c r="I34" i="3" s="1"/>
  <c r="O23" i="1"/>
  <c r="I22" i="3"/>
  <c r="O72" i="4"/>
  <c r="O97" i="4"/>
  <c r="O99" i="4"/>
  <c r="I8" i="6"/>
  <c r="I40" i="6"/>
  <c r="F80" i="3" s="1"/>
  <c r="G46" i="2" s="1"/>
  <c r="I37" i="6"/>
  <c r="F77" i="3" s="1"/>
  <c r="G43" i="2" s="1"/>
  <c r="I30" i="6"/>
  <c r="F72" i="3" s="1"/>
  <c r="I9" i="6"/>
  <c r="F62" i="3" s="1"/>
  <c r="O73" i="4"/>
  <c r="O75" i="4"/>
  <c r="O98" i="4"/>
  <c r="H37" i="3"/>
  <c r="H51" i="3" s="1"/>
  <c r="N102" i="4"/>
  <c r="R58" i="4"/>
  <c r="R83" i="4"/>
  <c r="F49" i="3"/>
  <c r="F33" i="3"/>
  <c r="R13" i="4"/>
  <c r="R18" i="4" s="1"/>
  <c r="N76" i="4"/>
  <c r="R12" i="4"/>
  <c r="R17" i="4" s="1"/>
  <c r="P95" i="4"/>
  <c r="Q87" i="4"/>
  <c r="Q92" i="4" s="1"/>
  <c r="Q88" i="4"/>
  <c r="Q93" i="4" s="1"/>
  <c r="Q89" i="4"/>
  <c r="Q94" i="4" s="1"/>
  <c r="Q86" i="4"/>
  <c r="Q91" i="4" s="1"/>
  <c r="P45" i="4"/>
  <c r="Q63" i="4"/>
  <c r="Q68" i="4" s="1"/>
  <c r="Q61" i="4"/>
  <c r="Q66" i="4" s="1"/>
  <c r="Q64" i="4"/>
  <c r="Q69" i="4" s="1"/>
  <c r="Q62" i="4"/>
  <c r="Q67" i="4" s="1"/>
  <c r="P70" i="4"/>
  <c r="Q38" i="4"/>
  <c r="Q43" i="4" s="1"/>
  <c r="Q37" i="4"/>
  <c r="Q42" i="4" s="1"/>
  <c r="Q39" i="4"/>
  <c r="Q44" i="4" s="1"/>
  <c r="H24" i="2"/>
  <c r="G43" i="3"/>
  <c r="G57" i="3" s="1"/>
  <c r="G47" i="3"/>
  <c r="F24" i="2"/>
  <c r="E43" i="3"/>
  <c r="E57" i="3" s="1"/>
  <c r="E47" i="3"/>
  <c r="N51" i="4"/>
  <c r="R14" i="4"/>
  <c r="R19" i="4" s="1"/>
  <c r="R33" i="4"/>
  <c r="H48" i="3"/>
  <c r="G32" i="6"/>
  <c r="I21" i="3"/>
  <c r="O48" i="4"/>
  <c r="O47" i="4"/>
  <c r="O49" i="4"/>
  <c r="O50" i="4"/>
  <c r="H19" i="3"/>
  <c r="E61" i="3"/>
  <c r="E67" i="3" s="1"/>
  <c r="F35" i="2" s="1"/>
  <c r="H13" i="6"/>
  <c r="P26" i="4"/>
  <c r="O18" i="1"/>
  <c r="P18" i="1"/>
  <c r="Q20" i="4"/>
  <c r="Q24" i="4" s="1"/>
  <c r="E40" i="2"/>
  <c r="E45" i="2" s="1"/>
  <c r="G61" i="3"/>
  <c r="G67" i="3" s="1"/>
  <c r="H35" i="2" s="1"/>
  <c r="J13" i="6"/>
  <c r="D83" i="3"/>
  <c r="E47" i="2"/>
  <c r="P25" i="1"/>
  <c r="O25" i="1"/>
  <c r="P26" i="1"/>
  <c r="O26" i="1"/>
  <c r="O27" i="4" l="1"/>
  <c r="O101" i="4"/>
  <c r="O76" i="4"/>
  <c r="O77" i="4" s="1"/>
  <c r="Q45" i="4"/>
  <c r="Q50" i="4" s="1"/>
  <c r="I37" i="3"/>
  <c r="I51" i="3" s="1"/>
  <c r="O102" i="4"/>
  <c r="R20" i="4"/>
  <c r="R25" i="4" s="1"/>
  <c r="F61" i="3"/>
  <c r="F67" i="3" s="1"/>
  <c r="G35" i="2" s="1"/>
  <c r="I13" i="6"/>
  <c r="Q70" i="4"/>
  <c r="R63" i="4"/>
  <c r="R68" i="4" s="1"/>
  <c r="R61" i="4"/>
  <c r="R66" i="4" s="1"/>
  <c r="R64" i="4"/>
  <c r="R69" i="4" s="1"/>
  <c r="R62" i="4"/>
  <c r="R67" i="4" s="1"/>
  <c r="N77" i="4"/>
  <c r="H36" i="3"/>
  <c r="H50" i="3" s="1"/>
  <c r="I36" i="3"/>
  <c r="I50" i="3" s="1"/>
  <c r="J23" i="3"/>
  <c r="P98" i="4"/>
  <c r="P99" i="4"/>
  <c r="P100" i="4"/>
  <c r="P97" i="4"/>
  <c r="K20" i="3"/>
  <c r="Q95" i="4"/>
  <c r="R89" i="4"/>
  <c r="R94" i="4" s="1"/>
  <c r="R87" i="4"/>
  <c r="R92" i="4" s="1"/>
  <c r="R86" i="4"/>
  <c r="R91" i="4" s="1"/>
  <c r="R88" i="4"/>
  <c r="R93" i="4" s="1"/>
  <c r="Q25" i="4"/>
  <c r="P72" i="4"/>
  <c r="J22" i="3"/>
  <c r="P74" i="4"/>
  <c r="P73" i="4"/>
  <c r="P75" i="4"/>
  <c r="F43" i="3"/>
  <c r="F57" i="3" s="1"/>
  <c r="F47" i="3"/>
  <c r="G24" i="2"/>
  <c r="N52" i="4"/>
  <c r="H35" i="3"/>
  <c r="F26" i="2"/>
  <c r="F32" i="2" s="1"/>
  <c r="F37" i="2" s="1"/>
  <c r="F30" i="2"/>
  <c r="Q23" i="4"/>
  <c r="Q22" i="4"/>
  <c r="O51" i="4"/>
  <c r="H26" i="2"/>
  <c r="H32" i="2" s="1"/>
  <c r="H37" i="2" s="1"/>
  <c r="H30" i="2"/>
  <c r="E49" i="2"/>
  <c r="E61" i="2" s="1"/>
  <c r="E69" i="3"/>
  <c r="H31" i="6" s="1"/>
  <c r="P27" i="4"/>
  <c r="J34" i="3"/>
  <c r="I18" i="2"/>
  <c r="H29" i="3"/>
  <c r="R37" i="4"/>
  <c r="R42" i="4" s="1"/>
  <c r="R36" i="4"/>
  <c r="R39" i="4"/>
  <c r="R44" i="4" s="1"/>
  <c r="R38" i="4"/>
  <c r="R43" i="4" s="1"/>
  <c r="I48" i="3"/>
  <c r="I19" i="3"/>
  <c r="J21" i="3"/>
  <c r="P49" i="4"/>
  <c r="P47" i="4"/>
  <c r="P48" i="4"/>
  <c r="P50" i="4"/>
  <c r="C73" i="3"/>
  <c r="C74" i="3" s="1"/>
  <c r="D40" i="2" s="1"/>
  <c r="N28" i="1" s="1"/>
  <c r="F32" i="6"/>
  <c r="G69" i="3"/>
  <c r="J31" i="6" s="1"/>
  <c r="K21" i="3" l="1"/>
  <c r="F69" i="3"/>
  <c r="I31" i="6" s="1"/>
  <c r="I32" i="6" s="1"/>
  <c r="R24" i="4"/>
  <c r="Q49" i="4"/>
  <c r="Q48" i="4"/>
  <c r="Q47" i="4"/>
  <c r="Q51" i="4" s="1"/>
  <c r="R22" i="4"/>
  <c r="L20" i="3"/>
  <c r="R23" i="4"/>
  <c r="R95" i="4"/>
  <c r="R99" i="4" s="1"/>
  <c r="R70" i="4"/>
  <c r="R73" i="4" s="1"/>
  <c r="Q26" i="4"/>
  <c r="K34" i="3" s="1"/>
  <c r="K48" i="3" s="1"/>
  <c r="Q72" i="4"/>
  <c r="Q74" i="4"/>
  <c r="K22" i="3"/>
  <c r="Q73" i="4"/>
  <c r="Q75" i="4"/>
  <c r="Q100" i="4"/>
  <c r="K23" i="3"/>
  <c r="Q98" i="4"/>
  <c r="Q97" i="4"/>
  <c r="Q99" i="4"/>
  <c r="J19" i="3"/>
  <c r="K18" i="2" s="1"/>
  <c r="K20" i="2" s="1"/>
  <c r="P76" i="4"/>
  <c r="P101" i="4"/>
  <c r="G26" i="2"/>
  <c r="G32" i="2" s="1"/>
  <c r="G37" i="2" s="1"/>
  <c r="G30" i="2"/>
  <c r="E63" i="2"/>
  <c r="G17" i="8" s="1"/>
  <c r="P51" i="4"/>
  <c r="O52" i="4"/>
  <c r="I35" i="3"/>
  <c r="H49" i="3"/>
  <c r="H33" i="3"/>
  <c r="R41" i="4"/>
  <c r="R45" i="4" s="1"/>
  <c r="K8" i="6"/>
  <c r="K40" i="6"/>
  <c r="H80" i="3" s="1"/>
  <c r="I46" i="2" s="1"/>
  <c r="K30" i="6"/>
  <c r="H72" i="3" s="1"/>
  <c r="K9" i="6"/>
  <c r="H62" i="3" s="1"/>
  <c r="K37" i="6"/>
  <c r="H77" i="3" s="1"/>
  <c r="I43" i="2" s="1"/>
  <c r="I20" i="2"/>
  <c r="J18" i="2"/>
  <c r="I29" i="3"/>
  <c r="J48" i="3"/>
  <c r="C79" i="3"/>
  <c r="F44" i="6" s="1"/>
  <c r="F46" i="6" s="1"/>
  <c r="C81" i="3" s="1"/>
  <c r="D45" i="2"/>
  <c r="N31" i="1" s="1"/>
  <c r="P31" i="1" s="1"/>
  <c r="F73" i="3"/>
  <c r="F74" i="3" s="1"/>
  <c r="F79" i="3" s="1"/>
  <c r="I44" i="6" s="1"/>
  <c r="I46" i="6" s="1"/>
  <c r="F81" i="3" s="1"/>
  <c r="G47" i="2" s="1"/>
  <c r="G73" i="3"/>
  <c r="G74" i="3" s="1"/>
  <c r="H40" i="2" s="1"/>
  <c r="H45" i="2" s="1"/>
  <c r="O28" i="1"/>
  <c r="P28" i="1"/>
  <c r="R26" i="4" l="1"/>
  <c r="R97" i="4"/>
  <c r="J29" i="3"/>
  <c r="M8" i="6" s="1"/>
  <c r="J61" i="3" s="1"/>
  <c r="K35" i="3"/>
  <c r="K49" i="3" s="1"/>
  <c r="Q52" i="4"/>
  <c r="R100" i="4"/>
  <c r="R75" i="4"/>
  <c r="R72" i="4"/>
  <c r="R76" i="4" s="1"/>
  <c r="L22" i="3"/>
  <c r="R74" i="4"/>
  <c r="Q27" i="4"/>
  <c r="R98" i="4"/>
  <c r="L23" i="3"/>
  <c r="P77" i="4"/>
  <c r="J36" i="3"/>
  <c r="J50" i="3" s="1"/>
  <c r="K19" i="3"/>
  <c r="P102" i="4"/>
  <c r="J37" i="3"/>
  <c r="J51" i="3" s="1"/>
  <c r="Q101" i="4"/>
  <c r="Q76" i="4"/>
  <c r="P52" i="4"/>
  <c r="J35" i="3"/>
  <c r="I33" i="3"/>
  <c r="I49" i="3"/>
  <c r="H47" i="3"/>
  <c r="H43" i="3"/>
  <c r="H57" i="3" s="1"/>
  <c r="I24" i="2"/>
  <c r="M9" i="6"/>
  <c r="M37" i="6"/>
  <c r="J77" i="3" s="1"/>
  <c r="K43" i="2" s="1"/>
  <c r="M40" i="6"/>
  <c r="J80" i="3" s="1"/>
  <c r="K46" i="2" s="1"/>
  <c r="M30" i="6"/>
  <c r="J72" i="3" s="1"/>
  <c r="L21" i="3"/>
  <c r="R49" i="4"/>
  <c r="R50" i="4"/>
  <c r="R48" i="4"/>
  <c r="R47" i="4"/>
  <c r="J20" i="2"/>
  <c r="R27" i="4"/>
  <c r="L34" i="3"/>
  <c r="K13" i="6"/>
  <c r="H61" i="3"/>
  <c r="H67" i="3" s="1"/>
  <c r="L30" i="6"/>
  <c r="I72" i="3" s="1"/>
  <c r="L9" i="6"/>
  <c r="I62" i="3" s="1"/>
  <c r="L8" i="6"/>
  <c r="L40" i="6"/>
  <c r="I80" i="3" s="1"/>
  <c r="J46" i="2" s="1"/>
  <c r="L37" i="6"/>
  <c r="I77" i="3" s="1"/>
  <c r="J43" i="2" s="1"/>
  <c r="E73" i="3"/>
  <c r="E74" i="3" s="1"/>
  <c r="H32" i="6"/>
  <c r="O31" i="1"/>
  <c r="F83" i="3"/>
  <c r="G40" i="2"/>
  <c r="G45" i="2" s="1"/>
  <c r="G49" i="2" s="1"/>
  <c r="J32" i="6"/>
  <c r="G79" i="3"/>
  <c r="J44" i="6" s="1"/>
  <c r="C83" i="3"/>
  <c r="D47" i="2"/>
  <c r="R101" i="4" l="1"/>
  <c r="D49" i="2"/>
  <c r="N33" i="1"/>
  <c r="L19" i="3"/>
  <c r="M18" i="2" s="1"/>
  <c r="M20" i="2" s="1"/>
  <c r="Q77" i="4"/>
  <c r="K36" i="3"/>
  <c r="Q102" i="4"/>
  <c r="K37" i="3"/>
  <c r="K51" i="3" s="1"/>
  <c r="L18" i="2"/>
  <c r="L20" i="2" s="1"/>
  <c r="K29" i="3"/>
  <c r="R102" i="4"/>
  <c r="L37" i="3"/>
  <c r="L51" i="3" s="1"/>
  <c r="R77" i="4"/>
  <c r="L36" i="3"/>
  <c r="L50" i="3" s="1"/>
  <c r="J24" i="2"/>
  <c r="I43" i="3"/>
  <c r="I57" i="3" s="1"/>
  <c r="I47" i="3"/>
  <c r="I26" i="2"/>
  <c r="I32" i="2" s="1"/>
  <c r="I30" i="2"/>
  <c r="R51" i="4"/>
  <c r="R52" i="4" s="1"/>
  <c r="J49" i="3"/>
  <c r="J33" i="3"/>
  <c r="J62" i="3"/>
  <c r="J67" i="3" s="1"/>
  <c r="K35" i="2" s="1"/>
  <c r="M13" i="6"/>
  <c r="F40" i="2"/>
  <c r="F45" i="2" s="1"/>
  <c r="E79" i="3"/>
  <c r="L13" i="6"/>
  <c r="I61" i="3"/>
  <c r="I67" i="3" s="1"/>
  <c r="L48" i="3"/>
  <c r="I35" i="2"/>
  <c r="H69" i="3"/>
  <c r="K31" i="6" s="1"/>
  <c r="J46" i="6"/>
  <c r="G81" i="3" s="1"/>
  <c r="H47" i="2" s="1"/>
  <c r="H49" i="2" s="1"/>
  <c r="N34" i="1"/>
  <c r="C21" i="1"/>
  <c r="D63" i="2" l="1"/>
  <c r="F17" i="8" s="1"/>
  <c r="D61" i="2"/>
  <c r="L29" i="3"/>
  <c r="O30" i="6" s="1"/>
  <c r="L72" i="3" s="1"/>
  <c r="O34" i="1"/>
  <c r="P34" i="1"/>
  <c r="O33" i="1"/>
  <c r="P33" i="1"/>
  <c r="N37" i="6"/>
  <c r="K77" i="3" s="1"/>
  <c r="L43" i="2" s="1"/>
  <c r="N40" i="6"/>
  <c r="K80" i="3" s="1"/>
  <c r="L46" i="2" s="1"/>
  <c r="N30" i="6"/>
  <c r="K72" i="3" s="1"/>
  <c r="N8" i="6"/>
  <c r="N9" i="6"/>
  <c r="K62" i="3" s="1"/>
  <c r="K33" i="3"/>
  <c r="K50" i="3"/>
  <c r="O37" i="6"/>
  <c r="L77" i="3" s="1"/>
  <c r="M43" i="2" s="1"/>
  <c r="O40" i="6"/>
  <c r="L80" i="3" s="1"/>
  <c r="M46" i="2" s="1"/>
  <c r="O8" i="6"/>
  <c r="L61" i="3" s="1"/>
  <c r="L35" i="3"/>
  <c r="I37" i="2"/>
  <c r="J43" i="3"/>
  <c r="J57" i="3" s="1"/>
  <c r="J69" i="3" s="1"/>
  <c r="M31" i="6" s="1"/>
  <c r="K24" i="2"/>
  <c r="J47" i="3"/>
  <c r="J26" i="2"/>
  <c r="J32" i="2" s="1"/>
  <c r="J30" i="2"/>
  <c r="O9" i="6"/>
  <c r="L62" i="3" s="1"/>
  <c r="J35" i="2"/>
  <c r="I69" i="3"/>
  <c r="L31" i="6" s="1"/>
  <c r="H44" i="6"/>
  <c r="H46" i="6" s="1"/>
  <c r="E81" i="3" s="1"/>
  <c r="F47" i="2" s="1"/>
  <c r="F49" i="2" s="1"/>
  <c r="G83" i="3"/>
  <c r="K61" i="3" l="1"/>
  <c r="K67" i="3" s="1"/>
  <c r="L35" i="2" s="1"/>
  <c r="N13" i="6"/>
  <c r="K47" i="3"/>
  <c r="K43" i="3"/>
  <c r="K57" i="3" s="1"/>
  <c r="L24" i="2"/>
  <c r="O13" i="6"/>
  <c r="K30" i="2"/>
  <c r="K26" i="2"/>
  <c r="K32" i="2" s="1"/>
  <c r="K37" i="2" s="1"/>
  <c r="L67" i="3"/>
  <c r="M35" i="2" s="1"/>
  <c r="J37" i="2"/>
  <c r="L49" i="3"/>
  <c r="L33" i="3"/>
  <c r="H73" i="3"/>
  <c r="H74" i="3" s="1"/>
  <c r="K32" i="6"/>
  <c r="F61" i="2"/>
  <c r="F63" i="2"/>
  <c r="E83" i="3"/>
  <c r="K69" i="3" l="1"/>
  <c r="N31" i="6" s="1"/>
  <c r="N32" i="6" s="1"/>
  <c r="H17" i="8"/>
  <c r="L30" i="2"/>
  <c r="L26" i="2"/>
  <c r="L32" i="2" s="1"/>
  <c r="L37" i="2" s="1"/>
  <c r="L47" i="3"/>
  <c r="L43" i="3"/>
  <c r="L57" i="3" s="1"/>
  <c r="L69" i="3" s="1"/>
  <c r="O31" i="6" s="1"/>
  <c r="M24" i="2"/>
  <c r="J73" i="3"/>
  <c r="J74" i="3" s="1"/>
  <c r="M32" i="6"/>
  <c r="I73" i="3"/>
  <c r="I74" i="3" s="1"/>
  <c r="L32" i="6"/>
  <c r="H79" i="3"/>
  <c r="I40" i="2"/>
  <c r="I45" i="2" s="1"/>
  <c r="C63" i="2"/>
  <c r="E17" i="8" s="1"/>
  <c r="C61" i="2"/>
  <c r="K73" i="3" l="1"/>
  <c r="K74" i="3" s="1"/>
  <c r="K79" i="3" s="1"/>
  <c r="N44" i="6" s="1"/>
  <c r="E31" i="8"/>
  <c r="E55" i="8" s="1"/>
  <c r="E22" i="8"/>
  <c r="F27" i="8"/>
  <c r="M26" i="2"/>
  <c r="M32" i="2" s="1"/>
  <c r="M37" i="2" s="1"/>
  <c r="M30" i="2"/>
  <c r="J79" i="3"/>
  <c r="M44" i="6" s="1"/>
  <c r="M46" i="6" s="1"/>
  <c r="J81" i="3" s="1"/>
  <c r="K40" i="2"/>
  <c r="K45" i="2" s="1"/>
  <c r="J40" i="2"/>
  <c r="J45" i="2" s="1"/>
  <c r="I79" i="3"/>
  <c r="L44" i="6" s="1"/>
  <c r="L46" i="6" s="1"/>
  <c r="I81" i="3" s="1"/>
  <c r="K44" i="6"/>
  <c r="K46" i="6" s="1"/>
  <c r="H81" i="3" s="1"/>
  <c r="I47" i="2" s="1"/>
  <c r="I49" i="2" s="1"/>
  <c r="I67" i="2" s="1"/>
  <c r="L40" i="2"/>
  <c r="L45" i="2" s="1"/>
  <c r="N46" i="6"/>
  <c r="K81" i="3" s="1"/>
  <c r="L47" i="2" s="1"/>
  <c r="O32" i="6"/>
  <c r="L73" i="3"/>
  <c r="L74" i="3" s="1"/>
  <c r="H16" i="1"/>
  <c r="H9" i="1"/>
  <c r="E67" i="2"/>
  <c r="F67" i="2"/>
  <c r="G67" i="2"/>
  <c r="H67" i="2"/>
  <c r="D67" i="2"/>
  <c r="E66" i="2"/>
  <c r="F66" i="2"/>
  <c r="G66" i="2"/>
  <c r="H66" i="2"/>
  <c r="D66" i="2"/>
  <c r="E34" i="8" l="1"/>
  <c r="E44" i="8" s="1"/>
  <c r="E50" i="8"/>
  <c r="E52" i="8" s="1"/>
  <c r="F28" i="8"/>
  <c r="G27" i="8"/>
  <c r="L49" i="2"/>
  <c r="J83" i="3"/>
  <c r="K47" i="2"/>
  <c r="K49" i="2" s="1"/>
  <c r="I83" i="3"/>
  <c r="J47" i="2"/>
  <c r="J49" i="2" s="1"/>
  <c r="I66" i="2"/>
  <c r="H83" i="3"/>
  <c r="K83" i="3"/>
  <c r="M40" i="2"/>
  <c r="M45" i="2" s="1"/>
  <c r="L79" i="3"/>
  <c r="E25" i="8"/>
  <c r="F21" i="8" l="1"/>
  <c r="F23" i="8" s="1"/>
  <c r="F30" i="8" s="1"/>
  <c r="H27" i="8"/>
  <c r="G28" i="8"/>
  <c r="L61" i="2"/>
  <c r="L63" i="2"/>
  <c r="N17" i="8" s="1"/>
  <c r="L67" i="2"/>
  <c r="L66" i="2"/>
  <c r="K61" i="2"/>
  <c r="K66" i="2"/>
  <c r="K67" i="2"/>
  <c r="K63" i="2"/>
  <c r="M17" i="8" s="1"/>
  <c r="J61" i="2"/>
  <c r="J63" i="2"/>
  <c r="L17" i="8" s="1"/>
  <c r="J67" i="2"/>
  <c r="J66" i="2"/>
  <c r="O44" i="6"/>
  <c r="O46" i="6" s="1"/>
  <c r="L81" i="3" s="1"/>
  <c r="M47" i="2" s="1"/>
  <c r="M49" i="2" s="1"/>
  <c r="C44" i="1" s="1"/>
  <c r="C46" i="1" s="1"/>
  <c r="I52" i="2" s="1"/>
  <c r="F24" i="8" l="1"/>
  <c r="F31" i="8"/>
  <c r="H28" i="8"/>
  <c r="H52" i="2"/>
  <c r="M52" i="2"/>
  <c r="L83" i="3"/>
  <c r="H31" i="1"/>
  <c r="M67" i="2"/>
  <c r="H18" i="1" s="1"/>
  <c r="M66" i="2"/>
  <c r="H11" i="1" s="1"/>
  <c r="F34" i="8" l="1"/>
  <c r="G52" i="2"/>
  <c r="C48" i="1"/>
  <c r="I26" i="1"/>
  <c r="H26" i="1" s="1"/>
  <c r="M53" i="2" l="1"/>
  <c r="M54" i="2" s="1"/>
  <c r="M63" i="2" s="1"/>
  <c r="O17" i="8" s="1"/>
  <c r="I53" i="2"/>
  <c r="I54" i="2" s="1"/>
  <c r="G53" i="2"/>
  <c r="G54" i="2" s="1"/>
  <c r="H53" i="2"/>
  <c r="H54" i="2" s="1"/>
  <c r="C49" i="1"/>
  <c r="I27" i="1" s="1"/>
  <c r="H27" i="1" s="1"/>
  <c r="F25" i="8"/>
  <c r="M61" i="2" l="1"/>
  <c r="I63" i="2"/>
  <c r="K17" i="8" s="1"/>
  <c r="I61" i="2"/>
  <c r="G21" i="8"/>
  <c r="G23" i="8" s="1"/>
  <c r="F32" i="8"/>
  <c r="H61" i="2"/>
  <c r="H63" i="2"/>
  <c r="J17" i="8" s="1"/>
  <c r="C50" i="1"/>
  <c r="I28" i="1" s="1"/>
  <c r="H28" i="1" s="1"/>
  <c r="G61" i="2"/>
  <c r="G63" i="2"/>
  <c r="G30" i="8" l="1"/>
  <c r="I17" i="8"/>
  <c r="H14" i="1"/>
  <c r="H17" i="1"/>
  <c r="H15" i="1"/>
  <c r="H10" i="1"/>
  <c r="H7" i="1"/>
  <c r="C20" i="1"/>
  <c r="H8" i="1"/>
  <c r="I27" i="8" l="1"/>
  <c r="J27" i="8" s="1"/>
  <c r="G31" i="8"/>
  <c r="G24" i="8"/>
  <c r="F5" i="8"/>
  <c r="M6" i="1" s="1"/>
  <c r="G34" i="8" l="1"/>
  <c r="I28" i="8"/>
  <c r="G25" i="8"/>
  <c r="K27" i="8"/>
  <c r="L27" i="8" s="1"/>
  <c r="J28" i="8"/>
  <c r="H21" i="8" l="1"/>
  <c r="H23" i="8" s="1"/>
  <c r="H30" i="8" s="1"/>
  <c r="G32" i="8"/>
  <c r="K28" i="8"/>
  <c r="M27" i="8"/>
  <c r="N27" i="8" s="1"/>
  <c r="L28" i="8"/>
  <c r="H31" i="8" l="1"/>
  <c r="H24" i="8"/>
  <c r="O27" i="8"/>
  <c r="O28" i="8" s="1"/>
  <c r="M28" i="8"/>
  <c r="N28" i="8"/>
  <c r="H34" i="8" l="1"/>
  <c r="H25" i="8"/>
  <c r="I21" i="8" l="1"/>
  <c r="I23" i="8" s="1"/>
  <c r="I30" i="8" s="1"/>
  <c r="H32" i="8"/>
  <c r="I31" i="8" l="1"/>
  <c r="I24" i="8"/>
  <c r="I34" i="8" l="1"/>
  <c r="I25" i="8"/>
  <c r="J21" i="8" l="1"/>
  <c r="J23" i="8" s="1"/>
  <c r="J30" i="8" s="1"/>
  <c r="I32" i="8"/>
  <c r="J31" i="8" l="1"/>
  <c r="J24" i="8"/>
  <c r="J34" i="8" l="1"/>
  <c r="J25" i="8"/>
  <c r="K21" i="8" l="1"/>
  <c r="K23" i="8" s="1"/>
  <c r="K30" i="8" s="1"/>
  <c r="J32" i="8"/>
  <c r="K31" i="8" l="1"/>
  <c r="K24" i="8"/>
  <c r="K34" i="8" l="1"/>
  <c r="K25" i="8"/>
  <c r="L21" i="8" l="1"/>
  <c r="L23" i="8" s="1"/>
  <c r="L30" i="8" s="1"/>
  <c r="K32" i="8"/>
  <c r="L31" i="8" l="1"/>
  <c r="L24" i="8"/>
  <c r="L25" i="8" s="1"/>
  <c r="L34" i="8" l="1"/>
  <c r="M21" i="8"/>
  <c r="M23" i="8" s="1"/>
  <c r="M30" i="8" s="1"/>
  <c r="L32" i="8"/>
  <c r="M31" i="8" l="1"/>
  <c r="M24" i="8"/>
  <c r="M34" i="8" l="1"/>
  <c r="M25" i="8"/>
  <c r="N21" i="8" l="1"/>
  <c r="N23" i="8" s="1"/>
  <c r="N30" i="8" s="1"/>
  <c r="M32" i="8"/>
  <c r="N31" i="8" l="1"/>
  <c r="N24" i="8"/>
  <c r="N34" i="8" l="1"/>
  <c r="N25" i="8"/>
  <c r="O21" i="8" l="1"/>
  <c r="O23" i="8" s="1"/>
  <c r="O30" i="8" s="1"/>
  <c r="C38" i="8" s="1"/>
  <c r="N32" i="8"/>
  <c r="C37" i="8" l="1"/>
  <c r="O31" i="8"/>
  <c r="O24" i="8"/>
  <c r="F41" i="8" l="1"/>
  <c r="G41" i="8" s="1"/>
  <c r="C32" i="8"/>
  <c r="O34" i="8"/>
  <c r="C36" i="8"/>
  <c r="O25" i="8"/>
  <c r="O32" i="8" s="1"/>
  <c r="H41" i="8" l="1"/>
  <c r="I41" i="8" s="1"/>
  <c r="J41" i="8" s="1"/>
  <c r="F40" i="8"/>
  <c r="G40" i="8" s="1"/>
  <c r="K41" i="8" l="1"/>
  <c r="L41" i="8" s="1"/>
  <c r="M41" i="8" s="1"/>
  <c r="N41" i="8" s="1"/>
  <c r="O41" i="8" s="1"/>
  <c r="H40" i="8"/>
  <c r="I40" i="8" s="1"/>
  <c r="J40" i="8" l="1"/>
  <c r="K40" i="8" s="1"/>
  <c r="H42" i="8"/>
  <c r="H44" i="8" s="1"/>
  <c r="L40" i="8" l="1"/>
  <c r="M40" i="8" s="1"/>
  <c r="N40" i="8" s="1"/>
  <c r="O40" i="8" s="1"/>
  <c r="H46" i="8"/>
  <c r="H47" i="8"/>
  <c r="H56" i="8" s="1"/>
  <c r="I42" i="8"/>
  <c r="I44" i="8" s="1"/>
  <c r="H50" i="8" l="1"/>
  <c r="H55" i="8"/>
  <c r="H48" i="8"/>
  <c r="H51" i="8"/>
  <c r="H52" i="8" s="1"/>
  <c r="J42" i="8"/>
  <c r="J44" i="8" s="1"/>
  <c r="J46" i="8" s="1"/>
  <c r="I47" i="8"/>
  <c r="I46" i="8"/>
  <c r="J47" i="8" l="1"/>
  <c r="J51" i="8" s="1"/>
  <c r="I50" i="8"/>
  <c r="I55" i="8"/>
  <c r="I51" i="8"/>
  <c r="I56" i="8"/>
  <c r="J50" i="8"/>
  <c r="J55" i="8"/>
  <c r="J48" i="8"/>
  <c r="I48" i="8"/>
  <c r="K42" i="8"/>
  <c r="K44" i="8" s="1"/>
  <c r="J56" i="8" l="1"/>
  <c r="J52" i="8"/>
  <c r="I52" i="8"/>
  <c r="K46" i="8"/>
  <c r="K47" i="8"/>
  <c r="L42" i="8"/>
  <c r="L44" i="8" s="1"/>
  <c r="K51" i="8" l="1"/>
  <c r="K56" i="8"/>
  <c r="K50" i="8"/>
  <c r="K55" i="8"/>
  <c r="K48" i="8"/>
  <c r="L46" i="8"/>
  <c r="L47" i="8"/>
  <c r="M42" i="8"/>
  <c r="M44" i="8" s="1"/>
  <c r="K52" i="8" l="1"/>
  <c r="L51" i="8"/>
  <c r="L56" i="8"/>
  <c r="L50" i="8"/>
  <c r="L55" i="8"/>
  <c r="L48" i="8"/>
  <c r="M47" i="8"/>
  <c r="M46" i="8"/>
  <c r="N42" i="8"/>
  <c r="N44" i="8" s="1"/>
  <c r="L52" i="8" l="1"/>
  <c r="M51" i="8"/>
  <c r="M56" i="8"/>
  <c r="M50" i="8"/>
  <c r="M55" i="8"/>
  <c r="O42" i="8"/>
  <c r="O44" i="8" s="1"/>
  <c r="O47" i="8" s="1"/>
  <c r="M48" i="8"/>
  <c r="N47" i="8"/>
  <c r="N46" i="8"/>
  <c r="N55" i="8" s="1"/>
  <c r="M52" i="8" l="1"/>
  <c r="O51" i="8"/>
  <c r="O56" i="8"/>
  <c r="N51" i="8"/>
  <c r="N56" i="8"/>
  <c r="O46" i="8"/>
  <c r="N48" i="8"/>
  <c r="N50" i="8"/>
  <c r="N52" i="8" s="1"/>
  <c r="O50" i="8" l="1"/>
  <c r="O52" i="8" s="1"/>
  <c r="O55" i="8"/>
  <c r="O48" i="8"/>
  <c r="G42" i="8" l="1"/>
  <c r="G44" i="8" s="1"/>
  <c r="F42" i="8"/>
  <c r="F44" i="8" s="1"/>
  <c r="F47" i="8" l="1"/>
  <c r="F46" i="8"/>
  <c r="F55" i="8" s="1"/>
  <c r="G47" i="8"/>
  <c r="G46" i="8"/>
  <c r="I5" i="8" l="1"/>
  <c r="P6" i="1" s="1"/>
  <c r="G50" i="8"/>
  <c r="G55" i="8"/>
  <c r="G5" i="8" s="1"/>
  <c r="N6" i="1" s="1"/>
  <c r="G51" i="8"/>
  <c r="G56" i="8"/>
  <c r="F51" i="8"/>
  <c r="F56" i="8"/>
  <c r="F48" i="8"/>
  <c r="F50" i="8"/>
  <c r="G48" i="8"/>
  <c r="C55" i="8" l="1" a="1"/>
  <c r="C55" i="8" s="1"/>
  <c r="H5" i="8" s="1"/>
  <c r="O6" i="1" s="1"/>
  <c r="F52" i="8"/>
  <c r="G52" i="8"/>
  <c r="A56"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<sst xmlns="http://schemas.openxmlformats.org/spreadsheetml/2006/main" count="585" uniqueCount="335">
  <si>
    <t>General Info and Timing</t>
  </si>
  <si>
    <t>Comments</t>
  </si>
  <si>
    <t>Property</t>
  </si>
  <si>
    <t>Address</t>
  </si>
  <si>
    <t>City</t>
  </si>
  <si>
    <t>Rooms</t>
  </si>
  <si>
    <t>Acquisition Start</t>
  </si>
  <si>
    <t>Month</t>
  </si>
  <si>
    <t>Year</t>
  </si>
  <si>
    <t>Hold Period</t>
  </si>
  <si>
    <t>Acquisition Assumptions</t>
  </si>
  <si>
    <t>Discount Rate</t>
  </si>
  <si>
    <t>CapRate</t>
  </si>
  <si>
    <t>DCF Value</t>
  </si>
  <si>
    <t>CapRate Value</t>
  </si>
  <si>
    <t>Purchase Price</t>
  </si>
  <si>
    <t>Acquisition Costs (Lender's Fees Excluded)</t>
  </si>
  <si>
    <t>PIP / Capital Improvement Reserve</t>
  </si>
  <si>
    <t>Lender's Fees</t>
  </si>
  <si>
    <t>All-In Basis</t>
  </si>
  <si>
    <t>Financing Assumptions</t>
  </si>
  <si>
    <t>Loan Amount</t>
  </si>
  <si>
    <t>LTV</t>
  </si>
  <si>
    <t>Interest Rate</t>
  </si>
  <si>
    <t>Loan Fees</t>
  </si>
  <si>
    <t>Interest Only Period (Years)</t>
  </si>
  <si>
    <t>Amortization Period (Years)</t>
  </si>
  <si>
    <t>Term</t>
  </si>
  <si>
    <t>Loan Disbursal Amount</t>
  </si>
  <si>
    <t>I/O Payments (Yearly)</t>
  </si>
  <si>
    <t>Amortization Payments (Yearly)</t>
  </si>
  <si>
    <t>Loan Balance Repayment</t>
  </si>
  <si>
    <t>Exit Assumptions</t>
  </si>
  <si>
    <t>Sale Price</t>
  </si>
  <si>
    <t>Exit Cap Rate</t>
  </si>
  <si>
    <t>Sales Expense</t>
  </si>
  <si>
    <t>Net Sales Proceeds - Levered</t>
  </si>
  <si>
    <t>Net Sales Proceeds - Unlevered</t>
  </si>
  <si>
    <t>Property Level Return Metrics</t>
  </si>
  <si>
    <t>Unlevered</t>
  </si>
  <si>
    <t>IRR</t>
  </si>
  <si>
    <t>MOIC</t>
  </si>
  <si>
    <t>Total Cash Invested</t>
  </si>
  <si>
    <t>Average Free &amp; Clear Return</t>
  </si>
  <si>
    <t>Levered</t>
  </si>
  <si>
    <t>Average Cash on Cash Return</t>
  </si>
  <si>
    <t>Property Metrics</t>
  </si>
  <si>
    <t>Per Key</t>
  </si>
  <si>
    <t>Total</t>
  </si>
  <si>
    <t>Acquisition</t>
  </si>
  <si>
    <t>All-In Basis Less Debt Proceeds</t>
  </si>
  <si>
    <t>Exit</t>
  </si>
  <si>
    <t>Debt Metrics</t>
  </si>
  <si>
    <t>Min. DSCR</t>
  </si>
  <si>
    <t>ADR</t>
  </si>
  <si>
    <t>RevPar</t>
  </si>
  <si>
    <t>Partnership Level Returns</t>
  </si>
  <si>
    <t>Cash Outflow</t>
  </si>
  <si>
    <t>Profit</t>
  </si>
  <si>
    <t>Limited Partner (Investor)</t>
  </si>
  <si>
    <t>Year 1 Summary</t>
  </si>
  <si>
    <t>POR</t>
  </si>
  <si>
    <t>PAR</t>
  </si>
  <si>
    <t>Year Ending</t>
  </si>
  <si>
    <t>Number of Rooms</t>
  </si>
  <si>
    <t>Available Rooms per Year</t>
  </si>
  <si>
    <t>Occupied Rooms per Year</t>
  </si>
  <si>
    <t>Occupancy Rate</t>
  </si>
  <si>
    <t>ADR Growth Rate</t>
  </si>
  <si>
    <t>Year Start</t>
  </si>
  <si>
    <t>Number of Days</t>
  </si>
  <si>
    <t>Departmental Revenues</t>
  </si>
  <si>
    <t>Room Revenue</t>
  </si>
  <si>
    <t>Food and Beverage Revenue</t>
  </si>
  <si>
    <t>Restaurant</t>
  </si>
  <si>
    <t>Bar</t>
  </si>
  <si>
    <t>Room Service</t>
  </si>
  <si>
    <t>Banquet Catering</t>
  </si>
  <si>
    <t>Other</t>
  </si>
  <si>
    <t>Other Operating Departments</t>
  </si>
  <si>
    <t>Space Rental</t>
  </si>
  <si>
    <t>Spa</t>
  </si>
  <si>
    <t>Gift Shop</t>
  </si>
  <si>
    <t>Total Revenue</t>
  </si>
  <si>
    <t>F&amp;B Revenue Inputs</t>
  </si>
  <si>
    <t>F&amp;B Outlets</t>
  </si>
  <si>
    <t>Average Guest per Occupied Room</t>
  </si>
  <si>
    <t>Breakfast</t>
  </si>
  <si>
    <t>Lunch</t>
  </si>
  <si>
    <t>Dinner</t>
  </si>
  <si>
    <t>Overnight</t>
  </si>
  <si>
    <t>Non-Hotel Guest Covers</t>
  </si>
  <si>
    <t>Average Check Size per Cover</t>
  </si>
  <si>
    <t>Annual Growth Rate</t>
  </si>
  <si>
    <t>% of Guests who use F&amp;B Outlets</t>
  </si>
  <si>
    <t>Average Check Size Annual Growth Rate</t>
  </si>
  <si>
    <t>F&amp;B Expense Inputs</t>
  </si>
  <si>
    <t>Cost of Sales</t>
  </si>
  <si>
    <t>Undistributed Expenses</t>
  </si>
  <si>
    <t>Credit Card Fees</t>
  </si>
  <si>
    <t>Payroll</t>
  </si>
  <si>
    <t>COGS</t>
  </si>
  <si>
    <t>Operating Supplies &amp; Equipment</t>
  </si>
  <si>
    <t>Expenses as % of Revenue</t>
  </si>
  <si>
    <t>Total Guests</t>
  </si>
  <si>
    <t>Total Non-Guest Covers</t>
  </si>
  <si>
    <t>Total Covers</t>
  </si>
  <si>
    <t>Expenses</t>
  </si>
  <si>
    <t>Total Expenses</t>
  </si>
  <si>
    <t>Departmental Expenses</t>
  </si>
  <si>
    <t>Room Expense</t>
  </si>
  <si>
    <t>Food and Beverage Expense</t>
  </si>
  <si>
    <t>Department</t>
  </si>
  <si>
    <t>Yr 1 Revenue</t>
  </si>
  <si>
    <t>Revenues</t>
  </si>
  <si>
    <t>Other Operating Departments Revenues</t>
  </si>
  <si>
    <t>Other Operating Departments Expenses</t>
  </si>
  <si>
    <t>% of Revenue</t>
  </si>
  <si>
    <t>Space Rental / Disco</t>
  </si>
  <si>
    <t>Total Departmental Expenses</t>
  </si>
  <si>
    <t>Departmental Profit</t>
  </si>
  <si>
    <t>Room Profit</t>
  </si>
  <si>
    <t>Food and Beverage Profit</t>
  </si>
  <si>
    <t>Total Departmental Profit</t>
  </si>
  <si>
    <t>Undistributed Expense Item</t>
  </si>
  <si>
    <t>% Of Revenue or Year 1 Expense</t>
  </si>
  <si>
    <t>Sales &amp; Marketing</t>
  </si>
  <si>
    <t>IT</t>
  </si>
  <si>
    <t>Repair and Maintenance</t>
  </si>
  <si>
    <t>Utilities</t>
  </si>
  <si>
    <t>NA</t>
  </si>
  <si>
    <t>Franchise Fees</t>
  </si>
  <si>
    <t>Initial Fee</t>
  </si>
  <si>
    <t xml:space="preserve">Amount </t>
  </si>
  <si>
    <t>Royalty</t>
  </si>
  <si>
    <t>Marketing</t>
  </si>
  <si>
    <t>Other Fees</t>
  </si>
  <si>
    <t>of Room Revenue</t>
  </si>
  <si>
    <t>Reservation Fees</t>
  </si>
  <si>
    <t>Management Fees</t>
  </si>
  <si>
    <t>Base Fee</t>
  </si>
  <si>
    <t>%</t>
  </si>
  <si>
    <t>of Gross Revenue</t>
  </si>
  <si>
    <t>Incentive Fee</t>
  </si>
  <si>
    <t>Fixed Expenses</t>
  </si>
  <si>
    <t>Taxes</t>
  </si>
  <si>
    <t>Insurance</t>
  </si>
  <si>
    <t>£ Amount Year 1</t>
  </si>
  <si>
    <t>General &amp; Administrative</t>
  </si>
  <si>
    <t>Total Undistributed Expenses</t>
  </si>
  <si>
    <t>Gross Operating Profit</t>
  </si>
  <si>
    <t>Management Fee</t>
  </si>
  <si>
    <t>Total Management Fee</t>
  </si>
  <si>
    <t>Business Rates</t>
  </si>
  <si>
    <t>Corporation Tax</t>
  </si>
  <si>
    <t>Other Taxes</t>
  </si>
  <si>
    <t>CAPEX &amp; FF&amp;E Reserve</t>
  </si>
  <si>
    <t>Capital Reserves</t>
  </si>
  <si>
    <t>EBITDA</t>
  </si>
  <si>
    <t>Capital &amp; FF&amp;E Reserve</t>
  </si>
  <si>
    <t>NOI</t>
  </si>
  <si>
    <t>Total Acquisition Costs</t>
  </si>
  <si>
    <t>Transfer PIP / Major Capital Improvement Reserve</t>
  </si>
  <si>
    <t>Closing Costs</t>
  </si>
  <si>
    <t>Total Management Fees</t>
  </si>
  <si>
    <t>Total Fixed Expenses</t>
  </si>
  <si>
    <t>Sales Price</t>
  </si>
  <si>
    <t>Sales Fees</t>
  </si>
  <si>
    <t>Sales Proceeds (Unlevered)</t>
  </si>
  <si>
    <t>Debt</t>
  </si>
  <si>
    <t>Loan Disbursement net Fees</t>
  </si>
  <si>
    <t>Debt Service</t>
  </si>
  <si>
    <t>Loan Repayment</t>
  </si>
  <si>
    <t>Unlevered Cash Flow</t>
  </si>
  <si>
    <t>Of total Revenue</t>
  </si>
  <si>
    <t>Levered Cash Flow</t>
  </si>
  <si>
    <t>Return Metrics</t>
  </si>
  <si>
    <t>Free and Clear Return</t>
  </si>
  <si>
    <t>Cash on Cash</t>
  </si>
  <si>
    <t>Risk Metrics</t>
  </si>
  <si>
    <t>DSCR</t>
  </si>
  <si>
    <t>Promote Structure</t>
  </si>
  <si>
    <t>Equity Split</t>
  </si>
  <si>
    <t>Limited Partner</t>
  </si>
  <si>
    <t>General Partner</t>
  </si>
  <si>
    <t>Hurdle</t>
  </si>
  <si>
    <t>Total Partnership Cash Flow (Levered)</t>
  </si>
  <si>
    <t>Limited Partner Distribution Calculations</t>
  </si>
  <si>
    <t>Beginning Balance</t>
  </si>
  <si>
    <t>Capital Contribution</t>
  </si>
  <si>
    <t>Accrued Interest</t>
  </si>
  <si>
    <t>Proceeds Available for Distribution</t>
  </si>
  <si>
    <t>Ending Balance</t>
  </si>
  <si>
    <t>CAPEX</t>
  </si>
  <si>
    <t>F&amp;B</t>
  </si>
  <si>
    <t>Others</t>
  </si>
  <si>
    <t>TOTAL Departmental Expenses</t>
  </si>
  <si>
    <t>TOTAL Departmental Revenues</t>
  </si>
  <si>
    <t>Total Cash Flow</t>
  </si>
  <si>
    <t>LP Cash Flow</t>
  </si>
  <si>
    <t>GP Cash Flow</t>
  </si>
  <si>
    <t>Occupancy</t>
  </si>
  <si>
    <t>Keys</t>
  </si>
  <si>
    <r>
      <t>Xpert</t>
    </r>
    <r>
      <rPr>
        <b/>
        <sz val="30"/>
        <color theme="3" tint="0.249977111117893"/>
        <rFont val="Palatino Linotype"/>
        <family val="1"/>
      </rPr>
      <t>Host</t>
    </r>
  </si>
  <si>
    <t>XpertHotel</t>
  </si>
  <si>
    <t>113  Park Lane</t>
  </si>
  <si>
    <t>London, W1K 7AJ</t>
  </si>
  <si>
    <t>Holding period flag</t>
  </si>
  <si>
    <t>Year of sale flag</t>
  </si>
  <si>
    <t>of Gross Profit Above 1M</t>
  </si>
  <si>
    <t>On EBITDA</t>
  </si>
  <si>
    <t>Room Expense % of Revenue</t>
  </si>
  <si>
    <t>NOI in the Year of Sale</t>
  </si>
  <si>
    <t>Sales Expense %</t>
  </si>
  <si>
    <t xml:space="preserve">v </t>
  </si>
  <si>
    <t>Incentive fee minimum GOP</t>
  </si>
  <si>
    <t>Total Cashflow</t>
  </si>
  <si>
    <t>Cost of Equity</t>
  </si>
  <si>
    <t>Cost of Debt</t>
  </si>
  <si>
    <t>Tax Rate</t>
  </si>
  <si>
    <t>Catch up</t>
  </si>
  <si>
    <t>Waterfall</t>
  </si>
  <si>
    <t>Return of Capital Contribution</t>
  </si>
  <si>
    <t>Return of Capital Contribution Reached?</t>
  </si>
  <si>
    <t>Hurdle Return</t>
  </si>
  <si>
    <t>Hurdle Return Cashflows</t>
  </si>
  <si>
    <t>Hurdle Return Flag</t>
  </si>
  <si>
    <t>Distributions Remaining Post Hurdle Return</t>
  </si>
  <si>
    <t>LP Catch Up Phase Limit</t>
  </si>
  <si>
    <t>GP Catch Up Phase Limit</t>
  </si>
  <si>
    <t>Total Catch Up Phase Limit</t>
  </si>
  <si>
    <t>LP Catch Up Phase Distributions</t>
  </si>
  <si>
    <t>GP Catch Up Phase Distributions</t>
  </si>
  <si>
    <t>Total Catch Up Phase Distributions</t>
  </si>
  <si>
    <t>Distributions Remaining Post Catch Up</t>
  </si>
  <si>
    <t>Total LP Cashflows</t>
  </si>
  <si>
    <t>Total GP Cashflows</t>
  </si>
  <si>
    <t>Total Cashflows</t>
  </si>
  <si>
    <r>
      <t>Xpert</t>
    </r>
    <r>
      <rPr>
        <b/>
        <sz val="26"/>
        <color theme="3" tint="0.249977111117893"/>
        <rFont val="Palatino Linotype"/>
        <family val="1"/>
      </rPr>
      <t>Host</t>
    </r>
  </si>
  <si>
    <t>Unlocking Hospitality Potential</t>
  </si>
  <si>
    <t>Hospitality | Careers | Consulting</t>
  </si>
  <si>
    <t>File Name</t>
  </si>
  <si>
    <t xml:space="preserve">Version </t>
  </si>
  <si>
    <t>Contents</t>
  </si>
  <si>
    <t>Summary</t>
  </si>
  <si>
    <t>Premium</t>
  </si>
  <si>
    <t>Waterfall - IRR Hurdles</t>
  </si>
  <si>
    <t>Free</t>
  </si>
  <si>
    <t>Glossary</t>
  </si>
  <si>
    <t>Legend</t>
  </si>
  <si>
    <t>Input</t>
  </si>
  <si>
    <t>Input Value</t>
  </si>
  <si>
    <t>Dropdown Value</t>
  </si>
  <si>
    <t>Select Dropdown Value</t>
  </si>
  <si>
    <t>Output</t>
  </si>
  <si>
    <t>Output Value</t>
  </si>
  <si>
    <t>Disclaimer</t>
  </si>
  <si>
    <t>The content and materials provided by XpertHost, whether directly featured or linked to, are intended for informational and educational purposes only. They do not cater to individual personal requirements.
The information presented does not constitute financial advice or recommendation of any kind and should not be interpreted as such. XpertHost is not regulated by the Financial Conduct Authority (FCA), and its authors are not financial advisors. Therefore, XpertHost is not authorized to offer financial advice.
Users are advised to consult with qualified professionals for advice tailored to their specific financial situations and needs. XpertHost disclaims any liability for decisions made based on information provided through its platform or related communications.
By accessing or using our tools and resources, you acknowledge and agree to this disclaimer.</t>
  </si>
  <si>
    <r>
      <rPr>
        <b/>
        <sz val="11"/>
        <color rgb="FFFF0000"/>
        <rFont val="Times New Roman"/>
        <family val="1"/>
      </rPr>
      <t>LEGAL WARNING:</t>
    </r>
    <r>
      <rPr>
        <sz val="11"/>
        <color rgb="FFFF0000"/>
        <rFont val="Times New Roman"/>
        <family val="1"/>
      </rPr>
      <t xml:space="preserve">
This file and its contents are the exclusive property of XpertHost Ltd. Unauthorized sharing, reproduction, or distribution of this file or any of its contents is strictly prohibited. Prior written consent from XpertHost Ltd is required for any use beyond the intended purpose. All rights reserved.</t>
    </r>
  </si>
  <si>
    <t>Cash Flow Projection - Advanced</t>
  </si>
  <si>
    <t>Food &amp; Beverage</t>
  </si>
  <si>
    <t>Other Expenses</t>
  </si>
  <si>
    <t>Hotel Underwritting Model - Premium</t>
  </si>
  <si>
    <t>Assumptions</t>
  </si>
  <si>
    <t>Summary Hotel Operating Proforma [For Hotel Investors]</t>
  </si>
  <si>
    <t>Starting Date Trading</t>
  </si>
  <si>
    <t>Year End</t>
  </si>
  <si>
    <t>Total Acquisition Cost</t>
  </si>
  <si>
    <t>PIP</t>
  </si>
  <si>
    <t>Rooms Profit Margin</t>
  </si>
  <si>
    <t>F&amp;B Profit Margin</t>
  </si>
  <si>
    <t>OOO Profit Margin</t>
  </si>
  <si>
    <t>Miscellaneous Income Margin</t>
  </si>
  <si>
    <t>Base Fee (% Revenue)</t>
  </si>
  <si>
    <t>Incentive Fee (% GOP)</t>
  </si>
  <si>
    <t>Department Revenues</t>
  </si>
  <si>
    <t>Incentive Fee Payable on GOP above</t>
  </si>
  <si>
    <t>FF&amp;E Reserve (% Revenue)</t>
  </si>
  <si>
    <t>Miscellaneous Income</t>
  </si>
  <si>
    <t>Total Department Revenue</t>
  </si>
  <si>
    <t>Capital Recovery and Return Metrics</t>
  </si>
  <si>
    <t>Payback Period</t>
  </si>
  <si>
    <t>Department Expenses</t>
  </si>
  <si>
    <t>Cash Outflows</t>
  </si>
  <si>
    <t>Cash Inflows</t>
  </si>
  <si>
    <t>Miscellaneous Expenses</t>
  </si>
  <si>
    <t>Department Profit</t>
  </si>
  <si>
    <t>Miscellaneous Income Profit</t>
  </si>
  <si>
    <t>Total Department Profit</t>
  </si>
  <si>
    <t>Total Undistributed Operating Expenses</t>
  </si>
  <si>
    <t>GOP Margin %</t>
  </si>
  <si>
    <t>IBNOIE</t>
  </si>
  <si>
    <t>Non-Operating Income and Expenses</t>
  </si>
  <si>
    <t>FF&amp;E Reserve</t>
  </si>
  <si>
    <t xml:space="preserve">NOI Margin % </t>
  </si>
  <si>
    <t>Cash Flow Projection - Basic</t>
  </si>
  <si>
    <r>
      <t>Xpert</t>
    </r>
    <r>
      <rPr>
        <b/>
        <sz val="30"/>
        <color rgb="FF7030A0"/>
        <rFont val="Palatino Linotype"/>
        <family val="1"/>
      </rPr>
      <t>Host</t>
    </r>
  </si>
  <si>
    <t>Explanation</t>
  </si>
  <si>
    <t>Average Daily Rate, the average revenue earned per occupied room in a given period. Calculated as Total Rooms Revenue / Total Rooms Sold</t>
  </si>
  <si>
    <t>The percentage of available rooms in a hotel that are occupied during a specific period. Calculated as (Rooms Sold / Rooms Available) * 100</t>
  </si>
  <si>
    <t>A performance metric combining ADR and Occupancy to reflect the revenue generated per available room. Calculated as ADR * Occupancy Rate</t>
  </si>
  <si>
    <t>Funds used for acquiring, upgrading, or maintaining physical assets such as hotel renovations, equipment, or expansions. 
CAPEX is essential for preserving or enhancing a hotel's value and competitive edge.</t>
  </si>
  <si>
    <t>Refers to the total number of guest rooms in a hotel, often used as a measure of scale. 
Each guest room is colloquially referred to as a "key" in industry terms.</t>
  </si>
  <si>
    <t>Gross Operating Profit (GOP)</t>
  </si>
  <si>
    <t>A measure of a hotel's profitability before fixed costs like rent, interest, and depreciation. Calculated as Total Revenue - Operating Costs</t>
  </si>
  <si>
    <t>Net Operating Income (NOI)</t>
  </si>
  <si>
    <t>The income generated by a hotel after deducting operating expenses (excluding financing, taxes, and CAPEX). Calculated as Total Revenue - Operating Expenses</t>
  </si>
  <si>
    <t>Furniture, Fixtures, and Equipment (FF&amp;E)</t>
  </si>
  <si>
    <t>The movable items in a hotel (e.g., beds, desks, chairs) that contribute to guest experience. These are distinct from real property and often require periodic replacement.</t>
  </si>
  <si>
    <t>Limited Partner (LP)</t>
  </si>
  <si>
    <t>An investor in a hotel fund or partnership who provides capital but has limited involvement in day-to-day operations. Their liability is restricted to their investment amount.</t>
  </si>
  <si>
    <t>General Partner (GP)</t>
  </si>
  <si>
    <t>The managing partner in a hotel investment or fund, responsible for operations, management decisions, and often raising capital. GPs assume greater risk but also share in larger rewards.</t>
  </si>
  <si>
    <t>Capitalization Rate (Cap Rate)</t>
  </si>
  <si>
    <t>The rate of return expected on a hotel investment, calculated by dividing NOI by the purchase price or current market value. Calculated as NOI / Asset Value</t>
  </si>
  <si>
    <t>Property Improvement Plan (PIP)</t>
  </si>
  <si>
    <t>A plan mandated by a brand (for franchised properties) or ownership to renovate or upgrade a hotel to meet brand standards or competitive positioning.</t>
  </si>
  <si>
    <t>Debt Service Coverage Ratio (DSCR)</t>
  </si>
  <si>
    <t>A measure of a hotel's ability to cover its debt obligations with NOI. Calculated as NOI / Total Debt Service</t>
  </si>
  <si>
    <t>Benchmarking</t>
  </si>
  <si>
    <t>The practice of comparing a hotel’s performance metrics (e.g., ADR, RevPAR) against a competitive set or industry averages to identify strengths and weaknesses.</t>
  </si>
  <si>
    <t>Per Available Room / Key Analysis</t>
  </si>
  <si>
    <t>Financial metrics presented on a per-room basis, often used in transactions. For example, "Price Per Key" or "RevPAR"</t>
  </si>
  <si>
    <t>Hotel Management Agreement (HMA)</t>
  </si>
  <si>
    <t>The legal contract between a hotel owner and an operator that outlines terms of management, including fees and responsibilities.</t>
  </si>
  <si>
    <t>Franchise Agreement</t>
  </si>
  <si>
    <t>A legal agreement granting a hotel owner the right to operate under a specific brand in exchange for fees and adherence to brand standards.</t>
  </si>
  <si>
    <t>Income Before Non-Operating Income and Expenses (IBNOIE)</t>
  </si>
  <si>
    <t>A measure of profitability that reflects a hotel's operating performance before deducting non-operating expenses like interest, taxes, depreciation, and amortization. 
Calculated as Total Revenue - Operating Expenses</t>
  </si>
  <si>
    <t>The time required for an investment to generate enough cash flow to recover its initial cost. Calculated as Initial Investment / Annual Cash Flow</t>
  </si>
  <si>
    <t>A profitability metric used to evaluate the total return on an investment relative to the initial capital invested. Calculated as Total Cash Inflow / Initial Capital Invested</t>
  </si>
  <si>
    <t>Visualisations</t>
  </si>
  <si>
    <t>1.0</t>
  </si>
  <si>
    <t>Cumulative Cashflow</t>
  </si>
  <si>
    <t>Operating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</si>
</sst>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4" formatCode="_-&quot;£&quot;* #,##0.00_-;\-&quot;£&quot;* #,##0.00_-;_-&quot;£&quot;* &quot;-&quot;??_-;_-@_-"/>
    <numFmt numFmtId="43" formatCode="_-* #,##0.00_-;\-* #,##0.00_-;_-* &quot;-&quot;??_-;_-@_-"/>
    <numFmt numFmtId="164" formatCode="mmm\ yy"/>
    <numFmt numFmtId="165" formatCode="&quot;Year &quot;General"/>
    <numFmt numFmtId="166" formatCode="_-* #,##0_-;\-* #,##0_-;_-* &quot;-&quot;??_-;_-@_-"/>
    <numFmt numFmtId="167" formatCode="_-[$£-809]* #,##0.00_-;\-[$£-809]* #,##0.00_-;_-[$£-809]* &quot;-&quot;??_-;_-@_-"/>
    <numFmt numFmtId="168" formatCode="0.0%"/>
    <numFmt numFmtId="169" formatCode="_-[$£-809]* #,##0_-;\-[$£-809]* #,##0_-;_-[$£-809]* &quot;-&quot;??_-;_-@_-"/>
    <numFmt numFmtId="170" formatCode="_-&quot;£&quot;* #,##0_-;\-&quot;£&quot;* #,##0_-;_-&quot;£&quot;* &quot;-&quot;??_-;_-@_-"/>
    <numFmt numFmtId="171" formatCode="&quot;Year &quot;0"/>
    <numFmt numFmtId="172" formatCode="0.00&quot;x&quot;"/>
    <numFmt numFmtId="173" formatCode="General&quot; Years&quot;"/>
    <numFmt numFmtId="174" formatCode="_(&quot;GBP&quot;* #,##0.00_);_(&quot;GBP&quot;* \(#,##0.00\);_(&quot;GBP&quot;* &quot;-&quot;??_);_(@_)"/>
    <numFmt numFmtId="175" formatCode="[$-F800]dddd\,\ mmmm\ dd\,\ yyyy"/>
    <numFmt numFmtId="176" formatCode="0.00&quot; Years&quot;"/>
  </numFmts>
  <fonts count="41" x14ac:knownFonts="1">
    <font>
      <sz val="11"/>
      <color theme="1"/>
      <name val="Calibri"/>
      <family val="2"/>
      <scheme val="minor"/>
    </font>
    <font>
      <sz val="11"/>
      <color theme="1"/>
      <name val="Calibri"/>
      <family val="2"/>
      <scheme val="minor"/>
    </font>
    <font>
      <sz val="11"/>
      <color theme="1"/>
      <name val="Times New Roman"/>
      <family val="1"/>
    </font>
    <font>
      <b/>
      <sz val="11"/>
      <color theme="0"/>
      <name val="Times New Roman"/>
      <family val="1"/>
    </font>
    <font>
      <b/>
      <u/>
      <sz val="11"/>
      <color theme="1"/>
      <name val="Times New Roman"/>
      <family val="1"/>
    </font>
    <font>
      <b/>
      <sz val="11"/>
      <color theme="0"/>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1"/>
      <color rgb="FF0000CC"/>
      <name val="Calibri"/>
      <family val="2"/>
      <scheme val="minor"/>
    </font>
    <font>
      <b/>
      <sz val="30"/>
      <color theme="1"/>
      <name val="Palatino Linotype"/>
      <family val="1"/>
    </font>
    <font>
      <b/>
      <sz val="30"/>
      <color theme="3" tint="0.249977111117893"/>
      <name val="Palatino Linotype"/>
      <family val="1"/>
    </font>
    <font>
      <b/>
      <u/>
      <sz val="12"/>
      <color theme="1"/>
      <name val="Times New Roman"/>
      <family val="1"/>
    </font>
    <font>
      <sz val="12"/>
      <color theme="1"/>
      <name val="Times New Roman"/>
      <family val="1"/>
    </font>
    <font>
      <b/>
      <sz val="12"/>
      <color theme="0"/>
      <name val="Times New Roman"/>
      <family val="1"/>
    </font>
    <font>
      <sz val="12"/>
      <color rgb="FF0000CC"/>
      <name val="Times New Roman"/>
      <family val="1"/>
    </font>
    <font>
      <b/>
      <sz val="12"/>
      <color theme="1"/>
      <name val="Times New Roman"/>
      <family val="1"/>
    </font>
    <font>
      <sz val="11"/>
      <name val="Times New Roman"/>
      <family val="1"/>
    </font>
    <font>
      <sz val="12"/>
      <name val="Times New Roman"/>
      <family val="1"/>
    </font>
    <font>
      <sz val="12"/>
      <color theme="0"/>
      <name val="Times New Roman"/>
      <family val="1"/>
    </font>
    <font>
      <i/>
      <sz val="12"/>
      <color theme="0"/>
      <name val="Times New Roman"/>
      <family val="1"/>
    </font>
    <font>
      <u/>
      <sz val="12"/>
      <color theme="1"/>
      <name val="Times New Roman"/>
      <family val="1"/>
    </font>
    <font>
      <i/>
      <sz val="12"/>
      <color theme="1"/>
      <name val="Times New Roman"/>
      <family val="1"/>
    </font>
    <font>
      <u/>
      <sz val="11"/>
      <color theme="10"/>
      <name val="Calibri"/>
      <family val="2"/>
      <scheme val="minor"/>
    </font>
    <font>
      <sz val="12"/>
      <color theme="1"/>
      <name val="Calibri"/>
      <family val="2"/>
      <scheme val="minor"/>
    </font>
    <font>
      <b/>
      <sz val="7"/>
      <color rgb="FF000000"/>
      <name val="Calibri"/>
      <family val="2"/>
      <scheme val="minor"/>
    </font>
    <font>
      <sz val="7"/>
      <color rgb="FF000000"/>
      <name val="Calibri"/>
      <family val="2"/>
      <scheme val="minor"/>
    </font>
    <font>
      <b/>
      <sz val="26"/>
      <color theme="1"/>
      <name val="Palatino Linotype"/>
      <family val="1"/>
    </font>
    <font>
      <b/>
      <sz val="26"/>
      <color theme="3" tint="0.249977111117893"/>
      <name val="Palatino Linotype"/>
      <family val="1"/>
    </font>
    <font>
      <i/>
      <sz val="11"/>
      <color theme="2" tint="-0.249977111117893"/>
      <name val="Times New Roman"/>
      <family val="1"/>
    </font>
    <font>
      <i/>
      <sz val="11"/>
      <color theme="1"/>
      <name val="Times New Roman"/>
      <family val="1"/>
    </font>
    <font>
      <u/>
      <sz val="12"/>
      <color theme="10"/>
      <name val="Calibri"/>
      <family val="2"/>
      <scheme val="minor"/>
    </font>
    <font>
      <sz val="11"/>
      <color theme="0"/>
      <name val="Times New Roman"/>
      <family val="1"/>
    </font>
    <font>
      <i/>
      <sz val="10"/>
      <color theme="1"/>
      <name val="Times New Roman"/>
      <family val="1"/>
    </font>
    <font>
      <sz val="11"/>
      <color rgb="FFFF0000"/>
      <name val="Times New Roman"/>
      <family val="1"/>
    </font>
    <font>
      <b/>
      <sz val="11"/>
      <color rgb="FFFF0000"/>
      <name val="Times New Roman"/>
      <family val="1"/>
    </font>
    <font>
      <sz val="12"/>
      <color rgb="FF002060"/>
      <name val="Times New Roman"/>
      <family val="1"/>
    </font>
    <font>
      <sz val="10"/>
      <color theme="1"/>
      <name val="Times New Roman"/>
      <family val="1"/>
    </font>
    <font>
      <b/>
      <sz val="12"/>
      <color theme="1"/>
      <name val="Calibri"/>
      <family val="2"/>
      <scheme val="minor"/>
    </font>
    <font>
      <b/>
      <sz val="30"/>
      <color rgb="FF7030A0"/>
      <name val="Palatino Linotype"/>
      <family val="1"/>
    </font>
    <font>
      <b/>
      <sz val="12"/>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9.9978637043366805E-2"/>
        <bgColor indexed="64"/>
      </patternFill>
    </fill>
    <fill>
      <patternFill patternType="solid">
        <fgColor theme="3" tint="0.89996032593768116"/>
        <bgColor indexed="64"/>
      </patternFill>
    </fill>
    <fill>
      <patternFill patternType="solid">
        <fgColor theme="2" tint="0.39997558519241921"/>
        <bgColor indexed="64"/>
      </patternFill>
    </fill>
    <fill>
      <patternFill patternType="solid">
        <fgColor theme="3" tint="0.749992370372631"/>
        <bgColor indexed="64"/>
      </patternFill>
    </fill>
    <fill>
      <patternFill patternType="solid">
        <fgColor theme="6" tint="0.59999389629810485"/>
        <bgColor indexed="64"/>
      </patternFill>
    </fill>
    <fill>
      <patternFill patternType="solid">
        <fgColor theme="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rgb="FFB2B2B2"/>
      </left>
      <right style="medium">
        <color indexed="64"/>
      </right>
      <top style="thin">
        <color rgb="FFB2B2B2"/>
      </top>
      <bottom style="thin">
        <color rgb="FFB2B2B2"/>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2" fillId="4" borderId="25"/>
    <xf numFmtId="0" fontId="23" fillId="0" borderId="0" applyNumberFormat="0" applyFill="0" applyBorder="0" applyAlignment="0" applyProtection="0"/>
    <xf numFmtId="0" fontId="24" fillId="0" borderId="0"/>
    <xf numFmtId="174" fontId="24" fillId="0" borderId="0" applyFont="0" applyFill="0" applyBorder="0" applyAlignment="0" applyProtection="0"/>
    <xf numFmtId="0" fontId="31" fillId="0" borderId="0" applyNumberForma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523">
    <xf numFmtId="0" fontId="0" fillId="0" borderId="0" xfId="0"/>
    <xf numFmtId="0" fontId="2" fillId="2" borderId="0" xfId="0" applyFont="1" applyFill="1" applyAlignment="1">
      <alignment vertical="center"/>
    </xf>
    <xf numFmtId="0" fontId="4" fillId="2" borderId="0" xfId="0" applyFont="1" applyFill="1"/>
    <xf numFmtId="0" fontId="2" fillId="2" borderId="0" xfId="0" applyFont="1" applyFill="1"/>
    <xf numFmtId="0" fontId="2" fillId="2" borderId="7" xfId="0" applyFont="1" applyFill="1" applyBorder="1"/>
    <xf numFmtId="0" fontId="2" fillId="2" borderId="5" xfId="0" applyFont="1" applyFill="1" applyBorder="1"/>
    <xf numFmtId="44" fontId="2" fillId="2" borderId="0" xfId="2" applyFont="1" applyFill="1"/>
    <xf numFmtId="9" fontId="2" fillId="2" borderId="0" xfId="0" applyNumberFormat="1" applyFont="1" applyFill="1"/>
    <xf numFmtId="0" fontId="2" fillId="2" borderId="8" xfId="0" applyFont="1" applyFill="1" applyBorder="1"/>
    <xf numFmtId="0" fontId="2" fillId="2" borderId="9" xfId="0" applyFont="1" applyFill="1" applyBorder="1"/>
    <xf numFmtId="10" fontId="2" fillId="2" borderId="0" xfId="3" applyNumberFormat="1" applyFont="1" applyFill="1"/>
    <xf numFmtId="0" fontId="2" fillId="2" borderId="6" xfId="0" applyFont="1" applyFill="1" applyBorder="1"/>
    <xf numFmtId="0" fontId="0" fillId="2" borderId="0" xfId="0" applyFill="1"/>
    <xf numFmtId="0" fontId="6" fillId="2" borderId="0" xfId="0" applyFont="1" applyFill="1"/>
    <xf numFmtId="0" fontId="8" fillId="2" borderId="0" xfId="0" applyFont="1" applyFill="1"/>
    <xf numFmtId="0" fontId="0" fillId="2" borderId="16" xfId="0" applyFill="1" applyBorder="1"/>
    <xf numFmtId="0" fontId="0" fillId="2" borderId="17" xfId="0" applyFill="1" applyBorder="1"/>
    <xf numFmtId="9" fontId="9" fillId="2" borderId="17" xfId="3" applyFont="1" applyFill="1" applyBorder="1"/>
    <xf numFmtId="9" fontId="0" fillId="2" borderId="17" xfId="3" applyFont="1" applyFill="1" applyBorder="1"/>
    <xf numFmtId="0" fontId="0" fillId="2" borderId="18" xfId="0" applyFill="1" applyBorder="1"/>
    <xf numFmtId="44" fontId="0" fillId="2" borderId="0" xfId="0" applyNumberFormat="1" applyFill="1"/>
    <xf numFmtId="0" fontId="0" fillId="2" borderId="0" xfId="0" applyFill="1" applyAlignment="1">
      <alignment horizontal="left" indent="1"/>
    </xf>
    <xf numFmtId="170" fontId="0" fillId="2" borderId="0" xfId="0" applyNumberFormat="1" applyFill="1"/>
    <xf numFmtId="170" fontId="0" fillId="2" borderId="0" xfId="2" applyNumberFormat="1" applyFont="1" applyFill="1"/>
    <xf numFmtId="44" fontId="0" fillId="2" borderId="0" xfId="2" applyFont="1" applyFill="1"/>
    <xf numFmtId="0" fontId="6" fillId="2" borderId="18" xfId="0" applyFont="1" applyFill="1" applyBorder="1"/>
    <xf numFmtId="170" fontId="0" fillId="2" borderId="19" xfId="0" applyNumberFormat="1" applyFill="1" applyBorder="1"/>
    <xf numFmtId="44" fontId="0" fillId="2" borderId="19" xfId="0" applyNumberFormat="1" applyFill="1" applyBorder="1"/>
    <xf numFmtId="9" fontId="0" fillId="2" borderId="0" xfId="3" applyFont="1" applyFill="1"/>
    <xf numFmtId="168" fontId="0" fillId="2" borderId="19" xfId="0" applyNumberFormat="1" applyFill="1" applyBorder="1"/>
    <xf numFmtId="172" fontId="0" fillId="2" borderId="20" xfId="0" applyNumberFormat="1" applyFill="1" applyBorder="1"/>
    <xf numFmtId="0" fontId="10" fillId="2" borderId="0" xfId="0" applyFont="1" applyFill="1" applyAlignment="1">
      <alignment horizontal="center"/>
    </xf>
    <xf numFmtId="0" fontId="12" fillId="2" borderId="0" xfId="0" applyFont="1" applyFill="1" applyAlignment="1">
      <alignment vertical="center"/>
    </xf>
    <xf numFmtId="0" fontId="13" fillId="2" borderId="0" xfId="0" applyFont="1" applyFill="1" applyAlignment="1">
      <alignment vertical="center"/>
    </xf>
    <xf numFmtId="0" fontId="14" fillId="3" borderId="10" xfId="0" applyFont="1" applyFill="1" applyBorder="1" applyAlignment="1">
      <alignment horizontal="left" vertical="center"/>
    </xf>
    <xf numFmtId="0" fontId="14" fillId="3" borderId="11" xfId="0" applyFont="1" applyFill="1" applyBorder="1" applyAlignment="1">
      <alignment vertical="center"/>
    </xf>
    <xf numFmtId="0" fontId="13" fillId="2" borderId="5" xfId="0" applyFont="1" applyFill="1" applyBorder="1" applyAlignment="1">
      <alignment horizontal="left" vertical="center" indent="1"/>
    </xf>
    <xf numFmtId="0" fontId="13" fillId="2" borderId="20" xfId="0" applyFont="1" applyFill="1" applyBorder="1" applyAlignment="1">
      <alignment vertical="center"/>
    </xf>
    <xf numFmtId="0" fontId="12" fillId="2" borderId="16" xfId="0" applyFont="1" applyFill="1" applyBorder="1" applyAlignment="1">
      <alignment vertical="center"/>
    </xf>
    <xf numFmtId="0" fontId="13" fillId="2" borderId="17" xfId="0" applyFont="1" applyFill="1" applyBorder="1" applyAlignment="1">
      <alignment vertical="center"/>
    </xf>
    <xf numFmtId="0" fontId="13" fillId="2" borderId="16" xfId="0" applyFont="1" applyFill="1" applyBorder="1" applyAlignment="1">
      <alignment horizontal="left" vertical="center" indent="1"/>
    </xf>
    <xf numFmtId="0" fontId="13" fillId="2" borderId="3" xfId="0" applyFont="1" applyFill="1" applyBorder="1" applyAlignment="1">
      <alignment vertical="center"/>
    </xf>
    <xf numFmtId="0" fontId="12" fillId="2" borderId="18" xfId="0" applyFont="1" applyFill="1" applyBorder="1" applyAlignment="1">
      <alignment vertical="center"/>
    </xf>
    <xf numFmtId="0" fontId="13" fillId="2" borderId="19" xfId="0" applyFont="1" applyFill="1" applyBorder="1" applyAlignment="1">
      <alignment vertical="center"/>
    </xf>
    <xf numFmtId="0" fontId="14" fillId="3" borderId="12" xfId="0" applyFont="1" applyFill="1" applyBorder="1" applyAlignment="1">
      <alignment horizontal="center" vertical="center"/>
    </xf>
    <xf numFmtId="0" fontId="13" fillId="2" borderId="16" xfId="0" applyFont="1" applyFill="1" applyBorder="1" applyAlignment="1">
      <alignment horizontal="left" vertical="center" indent="2"/>
    </xf>
    <xf numFmtId="0" fontId="13" fillId="2" borderId="18" xfId="0" applyFont="1" applyFill="1" applyBorder="1" applyAlignment="1">
      <alignment horizontal="left" vertical="center" indent="1"/>
    </xf>
    <xf numFmtId="0" fontId="13" fillId="2" borderId="26" xfId="0" applyFont="1" applyFill="1" applyBorder="1" applyAlignment="1">
      <alignment horizontal="left" vertical="center" indent="1"/>
    </xf>
    <xf numFmtId="0" fontId="13" fillId="2" borderId="27" xfId="0" applyFont="1" applyFill="1" applyBorder="1" applyAlignment="1">
      <alignment vertical="center"/>
    </xf>
    <xf numFmtId="0" fontId="14" fillId="3" borderId="11" xfId="0" applyFont="1" applyFill="1" applyBorder="1" applyAlignment="1">
      <alignment horizontal="left" vertical="center"/>
    </xf>
    <xf numFmtId="0" fontId="18" fillId="5" borderId="0" xfId="0" applyFont="1" applyFill="1" applyAlignment="1">
      <alignment horizontal="center" vertical="center"/>
    </xf>
    <xf numFmtId="0" fontId="14" fillId="3" borderId="14" xfId="0" applyFont="1" applyFill="1" applyBorder="1" applyAlignment="1">
      <alignment vertical="center"/>
    </xf>
    <xf numFmtId="0" fontId="14" fillId="3" borderId="15" xfId="0" applyFont="1" applyFill="1" applyBorder="1" applyAlignment="1">
      <alignment vertical="center"/>
    </xf>
    <xf numFmtId="0" fontId="14" fillId="3" borderId="15" xfId="0" applyFont="1" applyFill="1" applyBorder="1" applyAlignment="1">
      <alignment horizontal="right" vertical="center"/>
    </xf>
    <xf numFmtId="0" fontId="14" fillId="3" borderId="13" xfId="0" applyFont="1" applyFill="1" applyBorder="1" applyAlignment="1">
      <alignment horizontal="right" vertical="center"/>
    </xf>
    <xf numFmtId="0" fontId="12" fillId="2" borderId="0" xfId="0" applyFont="1" applyFill="1"/>
    <xf numFmtId="0" fontId="13" fillId="2" borderId="0" xfId="0" applyFont="1" applyFill="1"/>
    <xf numFmtId="0" fontId="12" fillId="2" borderId="16" xfId="0" applyFont="1" applyFill="1" applyBorder="1"/>
    <xf numFmtId="0" fontId="13" fillId="2" borderId="17" xfId="0" applyFont="1" applyFill="1" applyBorder="1"/>
    <xf numFmtId="0" fontId="13" fillId="2" borderId="16" xfId="0" applyFont="1" applyFill="1" applyBorder="1" applyAlignment="1">
      <alignment horizontal="left" indent="1"/>
    </xf>
    <xf numFmtId="44" fontId="13" fillId="2" borderId="0" xfId="2" applyFont="1" applyFill="1" applyBorder="1"/>
    <xf numFmtId="0" fontId="16" fillId="2" borderId="14" xfId="0" applyFont="1" applyFill="1" applyBorder="1"/>
    <xf numFmtId="44" fontId="16" fillId="2" borderId="15" xfId="2" applyFont="1" applyFill="1" applyBorder="1"/>
    <xf numFmtId="44" fontId="13" fillId="2" borderId="15" xfId="2" applyFont="1" applyFill="1" applyBorder="1"/>
    <xf numFmtId="0" fontId="13" fillId="2" borderId="15" xfId="0" applyFont="1" applyFill="1" applyBorder="1"/>
    <xf numFmtId="0" fontId="13" fillId="2" borderId="13" xfId="0" applyFont="1" applyFill="1" applyBorder="1"/>
    <xf numFmtId="0" fontId="13" fillId="2" borderId="16" xfId="0" applyFont="1" applyFill="1" applyBorder="1"/>
    <xf numFmtId="44" fontId="13" fillId="2" borderId="17" xfId="2" applyFont="1" applyFill="1" applyBorder="1"/>
    <xf numFmtId="0" fontId="13" fillId="2" borderId="18" xfId="0" applyFont="1" applyFill="1" applyBorder="1" applyAlignment="1">
      <alignment horizontal="left" indent="1"/>
    </xf>
    <xf numFmtId="44" fontId="13" fillId="2" borderId="19" xfId="2" applyFont="1" applyFill="1" applyBorder="1"/>
    <xf numFmtId="44" fontId="13" fillId="2" borderId="20" xfId="2" applyFont="1" applyFill="1" applyBorder="1"/>
    <xf numFmtId="0" fontId="13" fillId="2" borderId="14" xfId="0" applyFont="1" applyFill="1" applyBorder="1"/>
    <xf numFmtId="44" fontId="13" fillId="2" borderId="13" xfId="2" applyFont="1" applyFill="1" applyBorder="1"/>
    <xf numFmtId="44" fontId="16" fillId="2" borderId="0" xfId="2" applyFont="1" applyFill="1" applyBorder="1"/>
    <xf numFmtId="44" fontId="16" fillId="2" borderId="17" xfId="2" applyFont="1" applyFill="1" applyBorder="1"/>
    <xf numFmtId="0" fontId="13" fillId="2" borderId="14" xfId="0" applyFont="1" applyFill="1" applyBorder="1" applyAlignment="1">
      <alignment horizontal="left" indent="1"/>
    </xf>
    <xf numFmtId="0" fontId="16" fillId="2" borderId="16" xfId="0" applyFont="1" applyFill="1" applyBorder="1"/>
    <xf numFmtId="0" fontId="16" fillId="2" borderId="18" xfId="0" applyFont="1" applyFill="1" applyBorder="1"/>
    <xf numFmtId="44" fontId="16" fillId="2" borderId="19" xfId="2" applyFont="1" applyFill="1" applyBorder="1"/>
    <xf numFmtId="44" fontId="16" fillId="2" borderId="20" xfId="2" applyFont="1" applyFill="1" applyBorder="1"/>
    <xf numFmtId="44" fontId="13" fillId="2" borderId="0" xfId="2" applyFont="1" applyFill="1"/>
    <xf numFmtId="10" fontId="13" fillId="2" borderId="0" xfId="3" applyNumberFormat="1" applyFont="1" applyFill="1" applyBorder="1"/>
    <xf numFmtId="10" fontId="13" fillId="2" borderId="17" xfId="3" applyNumberFormat="1" applyFont="1" applyFill="1" applyBorder="1"/>
    <xf numFmtId="10" fontId="13" fillId="2" borderId="19" xfId="3" applyNumberFormat="1" applyFont="1" applyFill="1" applyBorder="1"/>
    <xf numFmtId="10" fontId="13" fillId="2" borderId="20" xfId="3" applyNumberFormat="1" applyFont="1" applyFill="1" applyBorder="1"/>
    <xf numFmtId="2" fontId="13" fillId="2" borderId="19" xfId="2" applyNumberFormat="1" applyFont="1" applyFill="1" applyBorder="1"/>
    <xf numFmtId="0" fontId="19" fillId="3" borderId="14" xfId="0" applyFont="1" applyFill="1" applyBorder="1"/>
    <xf numFmtId="165" fontId="19" fillId="3" borderId="15" xfId="0" applyNumberFormat="1" applyFont="1" applyFill="1" applyBorder="1" applyAlignment="1">
      <alignment horizontal="right"/>
    </xf>
    <xf numFmtId="0" fontId="19" fillId="3" borderId="16" xfId="0" applyFont="1" applyFill="1" applyBorder="1"/>
    <xf numFmtId="0" fontId="19" fillId="3" borderId="0" xfId="0" applyFont="1" applyFill="1" applyAlignment="1">
      <alignment horizontal="right"/>
    </xf>
    <xf numFmtId="0" fontId="19" fillId="3" borderId="17" xfId="0" applyFont="1" applyFill="1" applyBorder="1" applyAlignment="1">
      <alignment horizontal="right"/>
    </xf>
    <xf numFmtId="0" fontId="20" fillId="3" borderId="16" xfId="0" applyFont="1" applyFill="1" applyBorder="1"/>
    <xf numFmtId="164" fontId="19" fillId="3" borderId="0" xfId="0" applyNumberFormat="1" applyFont="1" applyFill="1" applyAlignment="1">
      <alignment horizontal="right"/>
    </xf>
    <xf numFmtId="164" fontId="19" fillId="3" borderId="17" xfId="0" applyNumberFormat="1" applyFont="1" applyFill="1" applyBorder="1" applyAlignment="1">
      <alignment horizontal="right"/>
    </xf>
    <xf numFmtId="0" fontId="14" fillId="3" borderId="14" xfId="0" applyFont="1" applyFill="1" applyBorder="1"/>
    <xf numFmtId="44" fontId="14" fillId="3" borderId="15" xfId="2" applyFont="1" applyFill="1" applyBorder="1"/>
    <xf numFmtId="0" fontId="14" fillId="3" borderId="15" xfId="0" applyFont="1" applyFill="1" applyBorder="1"/>
    <xf numFmtId="0" fontId="14" fillId="3" borderId="13" xfId="0" applyFont="1" applyFill="1" applyBorder="1"/>
    <xf numFmtId="167" fontId="17" fillId="5" borderId="0" xfId="0" applyNumberFormat="1" applyFont="1" applyFill="1"/>
    <xf numFmtId="0" fontId="3" fillId="3" borderId="0" xfId="0" applyFont="1" applyFill="1"/>
    <xf numFmtId="0" fontId="14" fillId="3" borderId="0" xfId="0" applyFont="1" applyFill="1"/>
    <xf numFmtId="0" fontId="16" fillId="2" borderId="0" xfId="0" applyFont="1" applyFill="1"/>
    <xf numFmtId="0" fontId="16" fillId="3" borderId="14" xfId="0" applyFont="1" applyFill="1" applyBorder="1"/>
    <xf numFmtId="165" fontId="14" fillId="3" borderId="15" xfId="0" applyNumberFormat="1" applyFont="1" applyFill="1" applyBorder="1"/>
    <xf numFmtId="165" fontId="14" fillId="3" borderId="13" xfId="0" applyNumberFormat="1" applyFont="1" applyFill="1" applyBorder="1"/>
    <xf numFmtId="0" fontId="16" fillId="2" borderId="10" xfId="0" applyFont="1" applyFill="1" applyBorder="1"/>
    <xf numFmtId="0" fontId="16" fillId="3" borderId="18" xfId="0" applyFont="1" applyFill="1" applyBorder="1"/>
    <xf numFmtId="164" fontId="14" fillId="3" borderId="19" xfId="0" applyNumberFormat="1" applyFont="1" applyFill="1" applyBorder="1"/>
    <xf numFmtId="164" fontId="14" fillId="3" borderId="20" xfId="0" applyNumberFormat="1" applyFont="1" applyFill="1" applyBorder="1"/>
    <xf numFmtId="0" fontId="13" fillId="2" borderId="5" xfId="0" applyFont="1" applyFill="1" applyBorder="1" applyAlignment="1">
      <alignment horizontal="left"/>
    </xf>
    <xf numFmtId="166" fontId="13" fillId="2" borderId="0" xfId="1" applyNumberFormat="1" applyFont="1" applyFill="1" applyBorder="1"/>
    <xf numFmtId="0" fontId="16" fillId="2" borderId="21" xfId="0" applyFont="1" applyFill="1" applyBorder="1"/>
    <xf numFmtId="0" fontId="15" fillId="2" borderId="0" xfId="0" applyFont="1" applyFill="1"/>
    <xf numFmtId="0" fontId="12" fillId="2" borderId="2" xfId="0" applyFont="1" applyFill="1" applyBorder="1"/>
    <xf numFmtId="0" fontId="13" fillId="2" borderId="3" xfId="0" applyFont="1" applyFill="1" applyBorder="1" applyAlignment="1">
      <alignment horizontal="center" vertical="center"/>
    </xf>
    <xf numFmtId="0" fontId="13" fillId="2" borderId="5" xfId="0" applyFont="1" applyFill="1" applyBorder="1" applyAlignment="1">
      <alignment horizontal="left" indent="1"/>
    </xf>
    <xf numFmtId="0" fontId="13" fillId="2" borderId="7" xfId="0" applyFont="1" applyFill="1" applyBorder="1" applyAlignment="1">
      <alignment horizontal="left" indent="1"/>
    </xf>
    <xf numFmtId="0" fontId="13" fillId="2" borderId="2" xfId="0" applyFont="1" applyFill="1" applyBorder="1" applyAlignment="1">
      <alignment horizontal="left"/>
    </xf>
    <xf numFmtId="0" fontId="13" fillId="2" borderId="3" xfId="0" applyFont="1" applyFill="1" applyBorder="1"/>
    <xf numFmtId="168" fontId="13" fillId="2" borderId="5" xfId="3" applyNumberFormat="1" applyFont="1" applyFill="1" applyBorder="1" applyAlignment="1">
      <alignment horizontal="left" indent="1"/>
    </xf>
    <xf numFmtId="0" fontId="13" fillId="2" borderId="21" xfId="0" applyFont="1" applyFill="1" applyBorder="1"/>
    <xf numFmtId="44" fontId="13" fillId="2" borderId="0" xfId="0" applyNumberFormat="1" applyFont="1" applyFill="1"/>
    <xf numFmtId="44" fontId="13" fillId="2" borderId="8" xfId="0" applyNumberFormat="1" applyFont="1" applyFill="1" applyBorder="1"/>
    <xf numFmtId="167" fontId="13" fillId="2" borderId="0" xfId="0" applyNumberFormat="1" applyFont="1" applyFill="1"/>
    <xf numFmtId="9" fontId="16" fillId="2" borderId="11" xfId="0" applyNumberFormat="1" applyFont="1" applyFill="1" applyBorder="1" applyAlignment="1">
      <alignment horizontal="center" vertical="center"/>
    </xf>
    <xf numFmtId="165" fontId="19" fillId="3" borderId="15" xfId="0" applyNumberFormat="1" applyFont="1" applyFill="1" applyBorder="1"/>
    <xf numFmtId="165" fontId="19" fillId="3" borderId="13" xfId="0" applyNumberFormat="1" applyFont="1" applyFill="1" applyBorder="1"/>
    <xf numFmtId="164" fontId="19" fillId="3" borderId="0" xfId="0" applyNumberFormat="1" applyFont="1" applyFill="1"/>
    <xf numFmtId="164" fontId="19" fillId="3" borderId="17" xfId="0" applyNumberFormat="1" applyFont="1" applyFill="1" applyBorder="1"/>
    <xf numFmtId="1" fontId="19" fillId="3" borderId="0" xfId="0" applyNumberFormat="1" applyFont="1" applyFill="1"/>
    <xf numFmtId="1" fontId="19" fillId="3" borderId="17" xfId="0" applyNumberFormat="1" applyFont="1" applyFill="1" applyBorder="1"/>
    <xf numFmtId="0" fontId="18" fillId="5" borderId="0" xfId="0" applyFont="1" applyFill="1"/>
    <xf numFmtId="0" fontId="18" fillId="5" borderId="17" xfId="0" applyFont="1" applyFill="1" applyBorder="1"/>
    <xf numFmtId="166" fontId="19" fillId="3" borderId="0" xfId="1" applyNumberFormat="1" applyFont="1" applyFill="1" applyBorder="1"/>
    <xf numFmtId="166" fontId="19" fillId="3" borderId="17" xfId="1" applyNumberFormat="1" applyFont="1" applyFill="1" applyBorder="1"/>
    <xf numFmtId="9" fontId="18" fillId="5" borderId="0" xfId="3" applyFont="1" applyFill="1" applyBorder="1"/>
    <xf numFmtId="9" fontId="18" fillId="5" borderId="17" xfId="3" applyFont="1" applyFill="1" applyBorder="1"/>
    <xf numFmtId="167" fontId="18" fillId="5" borderId="0" xfId="0" applyNumberFormat="1" applyFont="1" applyFill="1"/>
    <xf numFmtId="167" fontId="19" fillId="3" borderId="0" xfId="0" applyNumberFormat="1" applyFont="1" applyFill="1"/>
    <xf numFmtId="167" fontId="19" fillId="3" borderId="17" xfId="0" applyNumberFormat="1" applyFont="1" applyFill="1" applyBorder="1"/>
    <xf numFmtId="0" fontId="13" fillId="3" borderId="0" xfId="0" applyFont="1" applyFill="1"/>
    <xf numFmtId="0" fontId="21" fillId="2" borderId="16" xfId="0" applyFont="1" applyFill="1" applyBorder="1" applyAlignment="1">
      <alignment horizontal="left" indent="1"/>
    </xf>
    <xf numFmtId="0" fontId="22" fillId="2" borderId="16" xfId="0" applyFont="1" applyFill="1" applyBorder="1" applyAlignment="1">
      <alignment horizontal="left" indent="2"/>
    </xf>
    <xf numFmtId="0" fontId="21" fillId="2" borderId="16" xfId="0" applyFont="1" applyFill="1" applyBorder="1"/>
    <xf numFmtId="0" fontId="12" fillId="2" borderId="18" xfId="0" applyFont="1" applyFill="1" applyBorder="1"/>
    <xf numFmtId="0" fontId="13" fillId="3" borderId="14" xfId="0" applyFont="1" applyFill="1" applyBorder="1"/>
    <xf numFmtId="0" fontId="13" fillId="3" borderId="18" xfId="0" applyFont="1" applyFill="1" applyBorder="1"/>
    <xf numFmtId="164" fontId="19" fillId="3" borderId="19" xfId="0" applyNumberFormat="1" applyFont="1" applyFill="1" applyBorder="1"/>
    <xf numFmtId="164" fontId="19" fillId="3" borderId="20" xfId="0" applyNumberFormat="1" applyFont="1" applyFill="1" applyBorder="1"/>
    <xf numFmtId="9" fontId="18" fillId="5" borderId="0" xfId="3" applyFont="1" applyFill="1" applyBorder="1" applyAlignment="1">
      <alignment horizontal="center" vertical="center"/>
    </xf>
    <xf numFmtId="9" fontId="18" fillId="5" borderId="22" xfId="3" applyFont="1" applyFill="1" applyBorder="1"/>
    <xf numFmtId="44" fontId="18" fillId="5" borderId="0" xfId="2" applyFont="1" applyFill="1" applyBorder="1"/>
    <xf numFmtId="44" fontId="18" fillId="5" borderId="8" xfId="2" applyFont="1" applyFill="1" applyBorder="1"/>
    <xf numFmtId="0" fontId="18" fillId="5" borderId="8" xfId="0" applyFont="1" applyFill="1" applyBorder="1" applyAlignment="1">
      <alignment horizontal="center" vertical="center"/>
    </xf>
    <xf numFmtId="9" fontId="18" fillId="5" borderId="8" xfId="3" applyFont="1" applyFill="1" applyBorder="1"/>
    <xf numFmtId="0" fontId="18" fillId="5" borderId="23" xfId="0" applyFont="1" applyFill="1" applyBorder="1"/>
    <xf numFmtId="0" fontId="18" fillId="5" borderId="11" xfId="0" applyFont="1" applyFill="1" applyBorder="1" applyAlignment="1">
      <alignment horizontal="center" vertical="center"/>
    </xf>
    <xf numFmtId="164" fontId="3" fillId="3" borderId="14" xfId="0" applyNumberFormat="1" applyFont="1" applyFill="1" applyBorder="1"/>
    <xf numFmtId="164" fontId="3" fillId="3" borderId="15" xfId="0" applyNumberFormat="1" applyFont="1" applyFill="1" applyBorder="1"/>
    <xf numFmtId="164" fontId="3" fillId="3" borderId="13" xfId="0" applyNumberFormat="1" applyFont="1" applyFill="1" applyBorder="1"/>
    <xf numFmtId="164" fontId="3" fillId="3" borderId="10" xfId="0" applyNumberFormat="1" applyFont="1" applyFill="1" applyBorder="1"/>
    <xf numFmtId="164" fontId="3" fillId="3" borderId="11" xfId="0" applyNumberFormat="1" applyFont="1" applyFill="1" applyBorder="1"/>
    <xf numFmtId="164" fontId="3" fillId="3" borderId="12" xfId="0" applyNumberFormat="1" applyFont="1" applyFill="1" applyBorder="1"/>
    <xf numFmtId="0" fontId="14" fillId="3" borderId="1" xfId="0" applyFont="1" applyFill="1" applyBorder="1" applyAlignment="1">
      <alignment horizontal="center" vertical="center"/>
    </xf>
    <xf numFmtId="164" fontId="14" fillId="3" borderId="10" xfId="0" applyNumberFormat="1" applyFont="1" applyFill="1" applyBorder="1"/>
    <xf numFmtId="164" fontId="14" fillId="3" borderId="11" xfId="0" applyNumberFormat="1" applyFont="1" applyFill="1" applyBorder="1"/>
    <xf numFmtId="164" fontId="14" fillId="3" borderId="12" xfId="0" applyNumberFormat="1" applyFont="1" applyFill="1" applyBorder="1"/>
    <xf numFmtId="164" fontId="13" fillId="2" borderId="0" xfId="0" applyNumberFormat="1" applyFont="1" applyFill="1"/>
    <xf numFmtId="0" fontId="13" fillId="2" borderId="1" xfId="0" applyFont="1" applyFill="1" applyBorder="1" applyAlignment="1">
      <alignment horizontal="center" vertical="center"/>
    </xf>
    <xf numFmtId="0" fontId="13" fillId="2" borderId="24" xfId="0" applyFont="1" applyFill="1" applyBorder="1" applyAlignment="1">
      <alignment horizontal="center" vertical="center"/>
    </xf>
    <xf numFmtId="0" fontId="16" fillId="2" borderId="11" xfId="0" applyFont="1" applyFill="1" applyBorder="1"/>
    <xf numFmtId="0" fontId="16" fillId="2" borderId="12" xfId="0" applyFont="1" applyFill="1" applyBorder="1"/>
    <xf numFmtId="164" fontId="14" fillId="3" borderId="14" xfId="0" applyNumberFormat="1" applyFont="1" applyFill="1" applyBorder="1"/>
    <xf numFmtId="164" fontId="14" fillId="3" borderId="15" xfId="0" applyNumberFormat="1" applyFont="1" applyFill="1" applyBorder="1"/>
    <xf numFmtId="164" fontId="14" fillId="3" borderId="13" xfId="0" applyNumberFormat="1" applyFont="1" applyFill="1" applyBorder="1"/>
    <xf numFmtId="0" fontId="14" fillId="3" borderId="0" xfId="0" applyFont="1" applyFill="1" applyAlignment="1">
      <alignment horizontal="center" vertical="center"/>
    </xf>
    <xf numFmtId="9" fontId="13" fillId="5" borderId="1" xfId="3" applyFont="1" applyFill="1" applyBorder="1" applyAlignment="1">
      <alignment horizontal="center"/>
    </xf>
    <xf numFmtId="169" fontId="13" fillId="5" borderId="1" xfId="0" applyNumberFormat="1" applyFont="1" applyFill="1" applyBorder="1"/>
    <xf numFmtId="169" fontId="13" fillId="5" borderId="24" xfId="0" applyNumberFormat="1" applyFont="1" applyFill="1" applyBorder="1"/>
    <xf numFmtId="9" fontId="13" fillId="5" borderId="24" xfId="3" applyFont="1" applyFill="1" applyBorder="1" applyAlignment="1">
      <alignment horizontal="center"/>
    </xf>
    <xf numFmtId="0" fontId="3" fillId="3" borderId="10" xfId="0" applyFont="1" applyFill="1" applyBorder="1"/>
    <xf numFmtId="0" fontId="3" fillId="3" borderId="12" xfId="0" applyFont="1" applyFill="1" applyBorder="1"/>
    <xf numFmtId="0" fontId="3" fillId="3" borderId="11" xfId="0" applyFont="1" applyFill="1" applyBorder="1"/>
    <xf numFmtId="0" fontId="3" fillId="3" borderId="2" xfId="0" applyFont="1" applyFill="1" applyBorder="1"/>
    <xf numFmtId="0" fontId="3" fillId="3" borderId="3" xfId="0" applyFont="1" applyFill="1" applyBorder="1"/>
    <xf numFmtId="0" fontId="3" fillId="3" borderId="4" xfId="0" applyFont="1" applyFill="1" applyBorder="1"/>
    <xf numFmtId="164" fontId="3" fillId="3" borderId="2" xfId="0" applyNumberFormat="1" applyFont="1" applyFill="1" applyBorder="1"/>
    <xf numFmtId="164" fontId="3" fillId="3" borderId="3" xfId="0" applyNumberFormat="1" applyFont="1" applyFill="1" applyBorder="1"/>
    <xf numFmtId="164" fontId="3" fillId="3" borderId="4" xfId="0" applyNumberFormat="1" applyFont="1" applyFill="1" applyBorder="1"/>
    <xf numFmtId="167" fontId="17" fillId="5" borderId="3" xfId="0" applyNumberFormat="1" applyFont="1" applyFill="1" applyBorder="1"/>
    <xf numFmtId="9" fontId="17" fillId="5" borderId="0" xfId="0" applyNumberFormat="1" applyFont="1" applyFill="1" applyAlignment="1">
      <alignment horizontal="center" vertical="center"/>
    </xf>
    <xf numFmtId="44" fontId="17" fillId="5" borderId="0" xfId="2" applyFont="1" applyFill="1" applyBorder="1"/>
    <xf numFmtId="0" fontId="17" fillId="5" borderId="6" xfId="0" applyFont="1" applyFill="1" applyBorder="1"/>
    <xf numFmtId="9" fontId="17" fillId="5" borderId="6" xfId="0" applyNumberFormat="1" applyFont="1" applyFill="1" applyBorder="1"/>
    <xf numFmtId="0" fontId="17" fillId="5" borderId="8" xfId="0" applyFont="1" applyFill="1" applyBorder="1"/>
    <xf numFmtId="0" fontId="17" fillId="5" borderId="9" xfId="0" applyFont="1" applyFill="1" applyBorder="1"/>
    <xf numFmtId="9" fontId="17" fillId="5" borderId="8" xfId="0" applyNumberFormat="1" applyFont="1" applyFill="1" applyBorder="1" applyAlignment="1">
      <alignment horizontal="center" vertical="center"/>
    </xf>
    <xf numFmtId="9" fontId="17" fillId="5" borderId="8" xfId="2" applyNumberFormat="1" applyFont="1" applyFill="1" applyBorder="1" applyAlignment="1">
      <alignment horizontal="center"/>
    </xf>
    <xf numFmtId="9" fontId="17" fillId="5" borderId="8" xfId="0" applyNumberFormat="1" applyFont="1" applyFill="1" applyBorder="1" applyAlignment="1">
      <alignment horizontal="center"/>
    </xf>
    <xf numFmtId="0" fontId="5" fillId="3" borderId="0" xfId="0" applyFont="1" applyFill="1"/>
    <xf numFmtId="44" fontId="5" fillId="3" borderId="0" xfId="2" applyFont="1" applyFill="1"/>
    <xf numFmtId="0" fontId="7" fillId="3" borderId="0" xfId="0" applyFont="1" applyFill="1"/>
    <xf numFmtId="170" fontId="7" fillId="3" borderId="0" xfId="0" applyNumberFormat="1" applyFont="1" applyFill="1"/>
    <xf numFmtId="171" fontId="7" fillId="3" borderId="0" xfId="0" applyNumberFormat="1" applyFont="1" applyFill="1"/>
    <xf numFmtId="164" fontId="7" fillId="3" borderId="0" xfId="0" applyNumberFormat="1" applyFont="1" applyFill="1"/>
    <xf numFmtId="0" fontId="5" fillId="3" borderId="14" xfId="0" applyFont="1" applyFill="1" applyBorder="1"/>
    <xf numFmtId="0" fontId="7" fillId="3" borderId="13" xfId="0" applyFont="1" applyFill="1" applyBorder="1"/>
    <xf numFmtId="0" fontId="5" fillId="3" borderId="15" xfId="0" applyFont="1" applyFill="1" applyBorder="1"/>
    <xf numFmtId="0" fontId="5" fillId="3" borderId="13" xfId="0" applyFont="1" applyFill="1" applyBorder="1"/>
    <xf numFmtId="0" fontId="13" fillId="2" borderId="0" xfId="0" applyFont="1" applyFill="1" applyAlignment="1">
      <alignment horizontal="left" vertical="center" indent="1"/>
    </xf>
    <xf numFmtId="0" fontId="12" fillId="2" borderId="0" xfId="0" applyFont="1" applyFill="1" applyAlignment="1">
      <alignment horizontal="right" vertical="center"/>
    </xf>
    <xf numFmtId="0" fontId="13" fillId="2" borderId="19" xfId="0" applyFont="1" applyFill="1" applyBorder="1" applyAlignment="1">
      <alignment horizontal="left" vertical="center" indent="1"/>
    </xf>
    <xf numFmtId="0" fontId="14" fillId="2" borderId="0" xfId="0" applyFont="1" applyFill="1" applyAlignment="1">
      <alignment vertical="center"/>
    </xf>
    <xf numFmtId="0" fontId="14" fillId="2" borderId="0" xfId="0" applyFont="1" applyFill="1" applyAlignment="1">
      <alignment horizontal="right" vertical="center"/>
    </xf>
    <xf numFmtId="17" fontId="13" fillId="2" borderId="0" xfId="2" applyNumberFormat="1" applyFont="1" applyFill="1" applyBorder="1"/>
    <xf numFmtId="43" fontId="13" fillId="2" borderId="17" xfId="1" applyFont="1" applyFill="1" applyBorder="1"/>
    <xf numFmtId="44" fontId="13" fillId="2" borderId="3" xfId="2" applyFont="1" applyFill="1" applyBorder="1"/>
    <xf numFmtId="44" fontId="13" fillId="2" borderId="27" xfId="2" applyFont="1" applyFill="1" applyBorder="1"/>
    <xf numFmtId="2" fontId="13" fillId="2" borderId="28" xfId="2" applyNumberFormat="1" applyFont="1" applyFill="1" applyBorder="1"/>
    <xf numFmtId="44" fontId="2" fillId="7" borderId="7" xfId="2" applyFont="1" applyFill="1" applyBorder="1"/>
    <xf numFmtId="44" fontId="2" fillId="7" borderId="8" xfId="2" applyFont="1" applyFill="1" applyBorder="1"/>
    <xf numFmtId="44" fontId="2" fillId="7" borderId="9" xfId="2" applyFont="1" applyFill="1" applyBorder="1"/>
    <xf numFmtId="1" fontId="17" fillId="2" borderId="6" xfId="0" applyNumberFormat="1" applyFont="1" applyFill="1" applyBorder="1"/>
    <xf numFmtId="0" fontId="13" fillId="0" borderId="5" xfId="0" applyFont="1" applyBorder="1" applyAlignment="1">
      <alignment horizontal="left"/>
    </xf>
    <xf numFmtId="44" fontId="13" fillId="0" borderId="6" xfId="2" applyFont="1" applyFill="1" applyBorder="1"/>
    <xf numFmtId="0" fontId="13" fillId="2" borderId="22" xfId="0" applyFont="1" applyFill="1" applyBorder="1" applyAlignment="1">
      <alignment horizontal="center"/>
    </xf>
    <xf numFmtId="0" fontId="2" fillId="2" borderId="0" xfId="0" applyFont="1" applyFill="1" applyAlignment="1">
      <alignment wrapText="1"/>
    </xf>
    <xf numFmtId="0" fontId="13" fillId="2" borderId="0" xfId="0" applyFont="1" applyFill="1" applyAlignment="1">
      <alignment wrapText="1"/>
    </xf>
    <xf numFmtId="0" fontId="18" fillId="5" borderId="12" xfId="0" applyFont="1" applyFill="1" applyBorder="1" applyAlignment="1">
      <alignment horizontal="center" vertical="center" wrapText="1"/>
    </xf>
    <xf numFmtId="0" fontId="13" fillId="2" borderId="4" xfId="0" applyFont="1" applyFill="1" applyBorder="1" applyAlignment="1">
      <alignment horizontal="center" vertical="center" wrapText="1"/>
    </xf>
    <xf numFmtId="9" fontId="18" fillId="5" borderId="6" xfId="3" applyFont="1" applyFill="1" applyBorder="1" applyAlignment="1">
      <alignment wrapText="1"/>
    </xf>
    <xf numFmtId="9" fontId="18" fillId="5" borderId="9" xfId="3" applyFont="1" applyFill="1" applyBorder="1" applyAlignment="1">
      <alignment wrapText="1"/>
    </xf>
    <xf numFmtId="0" fontId="18" fillId="5" borderId="6"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3" fillId="2" borderId="23" xfId="0" applyFont="1" applyFill="1" applyBorder="1" applyAlignment="1">
      <alignment horizontal="center" wrapText="1"/>
    </xf>
    <xf numFmtId="0" fontId="13" fillId="2" borderId="4" xfId="0" applyFont="1" applyFill="1" applyBorder="1" applyAlignment="1">
      <alignment wrapText="1"/>
    </xf>
    <xf numFmtId="44" fontId="18" fillId="5" borderId="6" xfId="2" applyFont="1" applyFill="1" applyBorder="1" applyAlignment="1">
      <alignment wrapText="1"/>
    </xf>
    <xf numFmtId="44" fontId="18" fillId="5" borderId="9" xfId="2" applyFont="1" applyFill="1" applyBorder="1" applyAlignment="1">
      <alignment wrapText="1"/>
    </xf>
    <xf numFmtId="9" fontId="18" fillId="5" borderId="23" xfId="3" applyFont="1" applyFill="1" applyBorder="1" applyAlignment="1">
      <alignment wrapText="1"/>
    </xf>
    <xf numFmtId="44" fontId="13" fillId="2" borderId="6" xfId="0" applyNumberFormat="1" applyFont="1" applyFill="1" applyBorder="1" applyAlignment="1">
      <alignment wrapText="1"/>
    </xf>
    <xf numFmtId="44" fontId="13" fillId="2" borderId="9" xfId="0" applyNumberFormat="1" applyFont="1" applyFill="1" applyBorder="1" applyAlignment="1">
      <alignment wrapText="1"/>
    </xf>
    <xf numFmtId="9" fontId="18" fillId="5" borderId="6" xfId="3" applyFont="1" applyFill="1" applyBorder="1" applyAlignment="1">
      <alignment horizontal="center" vertical="center" wrapText="1"/>
    </xf>
    <xf numFmtId="9" fontId="16" fillId="2" borderId="12" xfId="0" applyNumberFormat="1" applyFont="1" applyFill="1" applyBorder="1" applyAlignment="1">
      <alignment horizontal="center" vertical="center" wrapText="1"/>
    </xf>
    <xf numFmtId="0" fontId="16" fillId="2" borderId="10" xfId="0" applyFont="1" applyFill="1" applyBorder="1" applyAlignment="1">
      <alignment horizontal="left" vertical="center"/>
    </xf>
    <xf numFmtId="170" fontId="0" fillId="2" borderId="3" xfId="2" applyNumberFormat="1" applyFont="1" applyFill="1" applyBorder="1"/>
    <xf numFmtId="0" fontId="13" fillId="0" borderId="20" xfId="0" applyFont="1" applyBorder="1" applyAlignment="1">
      <alignment vertical="center"/>
    </xf>
    <xf numFmtId="9" fontId="17" fillId="0" borderId="0" xfId="0" applyNumberFormat="1" applyFont="1" applyAlignment="1">
      <alignment horizontal="center"/>
    </xf>
    <xf numFmtId="0" fontId="2" fillId="2" borderId="0" xfId="0" applyFont="1" applyFill="1" applyAlignment="1">
      <alignment horizontal="right" vertical="center"/>
    </xf>
    <xf numFmtId="0" fontId="13" fillId="2" borderId="0" xfId="0" applyFont="1" applyFill="1" applyAlignment="1">
      <alignment horizontal="right" vertical="center"/>
    </xf>
    <xf numFmtId="0" fontId="14" fillId="3" borderId="11" xfId="0" applyFont="1" applyFill="1" applyBorder="1" applyAlignment="1">
      <alignment horizontal="right" vertical="center"/>
    </xf>
    <xf numFmtId="0" fontId="18" fillId="5" borderId="0" xfId="0" applyFont="1" applyFill="1" applyAlignment="1">
      <alignment horizontal="right" vertical="center"/>
    </xf>
    <xf numFmtId="164" fontId="13" fillId="2" borderId="0" xfId="0" applyNumberFormat="1" applyFont="1" applyFill="1" applyAlignment="1">
      <alignment horizontal="right" vertical="center"/>
    </xf>
    <xf numFmtId="0" fontId="13" fillId="6" borderId="0" xfId="4" applyNumberFormat="1" applyFont="1" applyFill="1" applyBorder="1" applyAlignment="1">
      <alignment horizontal="right"/>
    </xf>
    <xf numFmtId="173" fontId="18" fillId="6" borderId="19" xfId="0" applyNumberFormat="1" applyFont="1" applyFill="1" applyBorder="1" applyAlignment="1">
      <alignment horizontal="right" vertical="center"/>
    </xf>
    <xf numFmtId="9" fontId="18" fillId="5" borderId="0" xfId="0" applyNumberFormat="1" applyFont="1" applyFill="1" applyAlignment="1">
      <alignment horizontal="right" vertical="center"/>
    </xf>
    <xf numFmtId="170" fontId="13" fillId="2" borderId="3" xfId="0" applyNumberFormat="1" applyFont="1" applyFill="1" applyBorder="1" applyAlignment="1">
      <alignment horizontal="right" vertical="center"/>
    </xf>
    <xf numFmtId="10" fontId="18" fillId="5" borderId="0" xfId="0" applyNumberFormat="1" applyFont="1" applyFill="1" applyAlignment="1">
      <alignment horizontal="right" vertical="center"/>
    </xf>
    <xf numFmtId="0" fontId="13" fillId="2" borderId="3" xfId="0" applyFont="1" applyFill="1" applyBorder="1" applyAlignment="1">
      <alignment horizontal="right" vertical="center"/>
    </xf>
    <xf numFmtId="170" fontId="18" fillId="0" borderId="0" xfId="2" applyNumberFormat="1" applyFont="1" applyFill="1" applyAlignment="1">
      <alignment horizontal="right" vertical="center"/>
    </xf>
    <xf numFmtId="44" fontId="13" fillId="0" borderId="19" xfId="0" applyNumberFormat="1" applyFont="1" applyBorder="1" applyAlignment="1">
      <alignment horizontal="right" vertical="center"/>
    </xf>
    <xf numFmtId="168" fontId="9" fillId="2" borderId="20" xfId="3" applyNumberFormat="1" applyFont="1" applyFill="1" applyBorder="1"/>
    <xf numFmtId="170" fontId="0" fillId="7" borderId="0" xfId="0" applyNumberFormat="1" applyFill="1"/>
    <xf numFmtId="166" fontId="0" fillId="2" borderId="0" xfId="1" applyNumberFormat="1" applyFont="1" applyFill="1"/>
    <xf numFmtId="168" fontId="0" fillId="2" borderId="0" xfId="3" applyNumberFormat="1" applyFont="1" applyFill="1"/>
    <xf numFmtId="170" fontId="0" fillId="7" borderId="0" xfId="2" applyNumberFormat="1" applyFont="1" applyFill="1"/>
    <xf numFmtId="170" fontId="0" fillId="2" borderId="3" xfId="0" applyNumberFormat="1" applyFill="1" applyBorder="1"/>
    <xf numFmtId="0" fontId="13" fillId="2" borderId="10" xfId="0" applyFont="1" applyFill="1" applyBorder="1" applyAlignment="1">
      <alignment vertical="center"/>
    </xf>
    <xf numFmtId="170" fontId="13" fillId="0" borderId="11" xfId="2" applyNumberFormat="1" applyFont="1" applyFill="1" applyBorder="1" applyAlignment="1">
      <alignment vertical="center"/>
    </xf>
    <xf numFmtId="9" fontId="13" fillId="0" borderId="11" xfId="3" applyFont="1" applyFill="1" applyBorder="1" applyAlignment="1">
      <alignment vertical="center"/>
    </xf>
    <xf numFmtId="2" fontId="13" fillId="0" borderId="12" xfId="0" applyNumberFormat="1" applyFont="1" applyBorder="1" applyAlignment="1">
      <alignment vertical="center"/>
    </xf>
    <xf numFmtId="9" fontId="13" fillId="0" borderId="0" xfId="0" applyNumberFormat="1" applyFont="1" applyAlignment="1">
      <alignment horizontal="right" vertical="center" indent="1"/>
    </xf>
    <xf numFmtId="2" fontId="13" fillId="0" borderId="0" xfId="0" applyNumberFormat="1" applyFont="1" applyAlignment="1">
      <alignment horizontal="right" vertical="center" indent="1"/>
    </xf>
    <xf numFmtId="170" fontId="13" fillId="0" borderId="0" xfId="0" applyNumberFormat="1" applyFont="1" applyAlignment="1">
      <alignment horizontal="right" vertical="center"/>
    </xf>
    <xf numFmtId="10" fontId="13" fillId="0" borderId="0" xfId="0" applyNumberFormat="1" applyFont="1" applyAlignment="1">
      <alignment horizontal="right" vertical="center" indent="1"/>
    </xf>
    <xf numFmtId="0" fontId="12" fillId="0" borderId="0" xfId="0" applyFont="1" applyAlignment="1">
      <alignment horizontal="right" vertical="center"/>
    </xf>
    <xf numFmtId="10" fontId="13" fillId="0" borderId="19" xfId="0" applyNumberFormat="1" applyFont="1" applyBorder="1" applyAlignment="1">
      <alignment horizontal="right" vertical="center" indent="1"/>
    </xf>
    <xf numFmtId="0" fontId="13" fillId="0" borderId="0" xfId="0" applyFont="1" applyAlignment="1">
      <alignment vertical="center"/>
    </xf>
    <xf numFmtId="44" fontId="13" fillId="0" borderId="0" xfId="0" applyNumberFormat="1" applyFont="1" applyAlignment="1">
      <alignment vertical="center"/>
    </xf>
    <xf numFmtId="44" fontId="13" fillId="0" borderId="17" xfId="0" applyNumberFormat="1" applyFont="1" applyBorder="1" applyAlignment="1">
      <alignment vertical="center"/>
    </xf>
    <xf numFmtId="44" fontId="13" fillId="0" borderId="3" xfId="0" applyNumberFormat="1" applyFont="1" applyBorder="1" applyAlignment="1">
      <alignment vertical="center"/>
    </xf>
    <xf numFmtId="44" fontId="13" fillId="0" borderId="27" xfId="0" applyNumberFormat="1" applyFont="1" applyBorder="1" applyAlignment="1">
      <alignment vertical="center"/>
    </xf>
    <xf numFmtId="44" fontId="16" fillId="0" borderId="0" xfId="0" applyNumberFormat="1" applyFont="1" applyAlignment="1">
      <alignment vertical="center"/>
    </xf>
    <xf numFmtId="44" fontId="16" fillId="0" borderId="17" xfId="0" applyNumberFormat="1" applyFont="1" applyBorder="1" applyAlignment="1">
      <alignment vertical="center"/>
    </xf>
    <xf numFmtId="44" fontId="16" fillId="0" borderId="19" xfId="0" applyNumberFormat="1" applyFont="1" applyBorder="1" applyAlignment="1">
      <alignment vertical="center"/>
    </xf>
    <xf numFmtId="44" fontId="16" fillId="0" borderId="20" xfId="0" applyNumberFormat="1" applyFont="1" applyBorder="1" applyAlignment="1">
      <alignment vertical="center"/>
    </xf>
    <xf numFmtId="170" fontId="13" fillId="0" borderId="3" xfId="0" applyNumberFormat="1" applyFont="1" applyBorder="1" applyAlignment="1">
      <alignment horizontal="right" vertical="center"/>
    </xf>
    <xf numFmtId="44" fontId="13" fillId="0" borderId="0" xfId="0" applyNumberFormat="1" applyFont="1" applyAlignment="1">
      <alignment horizontal="right" vertical="center"/>
    </xf>
    <xf numFmtId="0" fontId="13" fillId="0" borderId="0" xfId="0" applyFont="1"/>
    <xf numFmtId="0" fontId="13" fillId="0" borderId="17" xfId="0" applyFont="1" applyBorder="1"/>
    <xf numFmtId="167" fontId="13" fillId="0" borderId="0" xfId="0" applyNumberFormat="1" applyFont="1"/>
    <xf numFmtId="167" fontId="13" fillId="0" borderId="17" xfId="0" applyNumberFormat="1" applyFont="1" applyBorder="1"/>
    <xf numFmtId="167" fontId="21" fillId="0" borderId="0" xfId="0" applyNumberFormat="1" applyFont="1"/>
    <xf numFmtId="167" fontId="21" fillId="0" borderId="17" xfId="0" applyNumberFormat="1" applyFont="1" applyBorder="1"/>
    <xf numFmtId="44" fontId="13" fillId="0" borderId="0" xfId="2" applyFont="1" applyFill="1" applyBorder="1"/>
    <xf numFmtId="44" fontId="13" fillId="0" borderId="17" xfId="2" applyFont="1" applyFill="1" applyBorder="1"/>
    <xf numFmtId="167" fontId="16" fillId="0" borderId="0" xfId="0" applyNumberFormat="1" applyFont="1"/>
    <xf numFmtId="167" fontId="16" fillId="0" borderId="17" xfId="0" applyNumberFormat="1" applyFont="1" applyBorder="1"/>
    <xf numFmtId="44" fontId="21" fillId="0" borderId="0" xfId="0" applyNumberFormat="1" applyFont="1"/>
    <xf numFmtId="44" fontId="21" fillId="0" borderId="17" xfId="0" applyNumberFormat="1" applyFont="1" applyBorder="1"/>
    <xf numFmtId="44" fontId="13" fillId="0" borderId="0" xfId="0" applyNumberFormat="1" applyFont="1"/>
    <xf numFmtId="44" fontId="13" fillId="0" borderId="17" xfId="0" applyNumberFormat="1" applyFont="1" applyBorder="1"/>
    <xf numFmtId="44" fontId="21" fillId="0" borderId="0" xfId="2" applyFont="1" applyFill="1" applyBorder="1"/>
    <xf numFmtId="44" fontId="21" fillId="0" borderId="17" xfId="2" applyFont="1" applyFill="1" applyBorder="1"/>
    <xf numFmtId="44" fontId="16" fillId="0" borderId="0" xfId="0" applyNumberFormat="1" applyFont="1"/>
    <xf numFmtId="44" fontId="16" fillId="0" borderId="17" xfId="0" applyNumberFormat="1" applyFont="1" applyBorder="1"/>
    <xf numFmtId="167" fontId="16" fillId="0" borderId="19" xfId="0" applyNumberFormat="1" applyFont="1" applyBorder="1"/>
    <xf numFmtId="167" fontId="16" fillId="0" borderId="20" xfId="0" applyNumberFormat="1" applyFont="1" applyBorder="1"/>
    <xf numFmtId="166" fontId="13" fillId="0" borderId="0" xfId="1" applyNumberFormat="1" applyFont="1" applyFill="1" applyBorder="1"/>
    <xf numFmtId="166" fontId="13" fillId="0" borderId="6" xfId="1" applyNumberFormat="1" applyFont="1" applyFill="1" applyBorder="1"/>
    <xf numFmtId="166" fontId="13" fillId="0" borderId="0" xfId="0" applyNumberFormat="1" applyFont="1"/>
    <xf numFmtId="166" fontId="13" fillId="0" borderId="6" xfId="0" applyNumberFormat="1" applyFont="1" applyBorder="1"/>
    <xf numFmtId="0" fontId="13" fillId="0" borderId="6" xfId="0" applyFont="1" applyBorder="1"/>
    <xf numFmtId="167" fontId="16" fillId="0" borderId="22" xfId="0" applyNumberFormat="1" applyFont="1" applyBorder="1"/>
    <xf numFmtId="167" fontId="16" fillId="0" borderId="23" xfId="0" applyNumberFormat="1" applyFont="1" applyBorder="1"/>
    <xf numFmtId="0" fontId="13" fillId="0" borderId="3" xfId="0" applyFont="1" applyBorder="1" applyAlignment="1">
      <alignment horizontal="center" vertical="center"/>
    </xf>
    <xf numFmtId="0" fontId="13" fillId="0" borderId="3" xfId="0" applyFont="1" applyBorder="1"/>
    <xf numFmtId="0" fontId="13" fillId="0" borderId="4" xfId="0" applyFont="1" applyBorder="1"/>
    <xf numFmtId="169" fontId="13" fillId="0" borderId="5" xfId="0" applyNumberFormat="1" applyFont="1" applyBorder="1"/>
    <xf numFmtId="169" fontId="13" fillId="0" borderId="0" xfId="0" applyNumberFormat="1" applyFont="1"/>
    <xf numFmtId="169" fontId="13" fillId="0" borderId="6" xfId="0" applyNumberFormat="1" applyFont="1" applyBorder="1"/>
    <xf numFmtId="169" fontId="16" fillId="0" borderId="7" xfId="0" applyNumberFormat="1" applyFont="1" applyBorder="1"/>
    <xf numFmtId="169" fontId="16" fillId="0" borderId="8" xfId="0" applyNumberFormat="1" applyFont="1" applyBorder="1"/>
    <xf numFmtId="169" fontId="16" fillId="0" borderId="9" xfId="0" applyNumberFormat="1" applyFont="1" applyBorder="1"/>
    <xf numFmtId="169" fontId="13" fillId="0" borderId="2" xfId="0" applyNumberFormat="1" applyFont="1" applyBorder="1"/>
    <xf numFmtId="169" fontId="13" fillId="0" borderId="3" xfId="0" applyNumberFormat="1" applyFont="1" applyBorder="1"/>
    <xf numFmtId="169" fontId="13" fillId="0" borderId="4" xfId="0" applyNumberFormat="1" applyFont="1" applyBorder="1"/>
    <xf numFmtId="167" fontId="2" fillId="0" borderId="5" xfId="0" applyNumberFormat="1" applyFont="1" applyBorder="1"/>
    <xf numFmtId="167" fontId="2" fillId="0" borderId="0" xfId="0" applyNumberFormat="1" applyFont="1"/>
    <xf numFmtId="167" fontId="2" fillId="0" borderId="6" xfId="0" applyNumberFormat="1" applyFont="1" applyBorder="1"/>
    <xf numFmtId="44" fontId="2" fillId="0" borderId="7" xfId="2" applyFont="1" applyFill="1" applyBorder="1"/>
    <xf numFmtId="44" fontId="2" fillId="0" borderId="8" xfId="2" applyFont="1" applyFill="1" applyBorder="1"/>
    <xf numFmtId="44" fontId="2" fillId="0" borderId="9" xfId="2" applyFont="1" applyFill="1" applyBorder="1"/>
    <xf numFmtId="44" fontId="2" fillId="0" borderId="7" xfId="0" applyNumberFormat="1" applyFont="1" applyBorder="1"/>
    <xf numFmtId="44" fontId="2" fillId="0" borderId="8" xfId="0" applyNumberFormat="1" applyFont="1" applyBorder="1"/>
    <xf numFmtId="44" fontId="2" fillId="0" borderId="9" xfId="0" applyNumberFormat="1" applyFont="1" applyBorder="1"/>
    <xf numFmtId="0" fontId="2" fillId="0" borderId="0" xfId="0" applyFont="1"/>
    <xf numFmtId="44" fontId="2" fillId="0" borderId="5" xfId="0" applyNumberFormat="1" applyFont="1" applyBorder="1"/>
    <xf numFmtId="44" fontId="2" fillId="0" borderId="0" xfId="0" applyNumberFormat="1" applyFont="1"/>
    <xf numFmtId="44" fontId="2" fillId="0" borderId="6" xfId="0" applyNumberFormat="1" applyFont="1" applyBorder="1"/>
    <xf numFmtId="44" fontId="2" fillId="0" borderId="5" xfId="2" applyFont="1" applyFill="1" applyBorder="1"/>
    <xf numFmtId="44" fontId="2" fillId="0" borderId="0" xfId="2" applyFont="1" applyFill="1" applyBorder="1"/>
    <xf numFmtId="44" fontId="2" fillId="0" borderId="6" xfId="2" applyFont="1" applyFill="1" applyBorder="1"/>
    <xf numFmtId="10" fontId="18" fillId="5" borderId="0" xfId="3" applyNumberFormat="1" applyFont="1" applyFill="1" applyBorder="1" applyAlignment="1">
      <alignment horizontal="right" vertical="center"/>
    </xf>
    <xf numFmtId="10" fontId="13" fillId="2" borderId="0" xfId="0" applyNumberFormat="1" applyFont="1" applyFill="1" applyAlignment="1">
      <alignment horizontal="right" vertical="center"/>
    </xf>
    <xf numFmtId="8" fontId="13" fillId="2" borderId="0" xfId="0" applyNumberFormat="1" applyFont="1" applyFill="1" applyAlignment="1">
      <alignment horizontal="right" vertical="center"/>
    </xf>
    <xf numFmtId="44" fontId="13" fillId="2" borderId="0" xfId="0" applyNumberFormat="1" applyFont="1" applyFill="1" applyAlignment="1">
      <alignment horizontal="right" vertical="center"/>
    </xf>
    <xf numFmtId="170" fontId="18" fillId="5" borderId="0" xfId="0" applyNumberFormat="1" applyFont="1" applyFill="1" applyAlignment="1">
      <alignment horizontal="right" vertical="center"/>
    </xf>
    <xf numFmtId="170" fontId="13" fillId="2" borderId="0" xfId="2" applyNumberFormat="1" applyFont="1" applyFill="1" applyBorder="1" applyAlignment="1">
      <alignment horizontal="right" vertical="center"/>
    </xf>
    <xf numFmtId="170" fontId="18" fillId="5" borderId="0" xfId="2" applyNumberFormat="1" applyFont="1" applyFill="1" applyBorder="1" applyAlignment="1">
      <alignment horizontal="right" vertical="center"/>
    </xf>
    <xf numFmtId="170" fontId="13" fillId="2" borderId="0" xfId="0" applyNumberFormat="1" applyFont="1" applyFill="1" applyAlignment="1">
      <alignment horizontal="right" vertical="center"/>
    </xf>
    <xf numFmtId="0" fontId="14" fillId="3" borderId="14" xfId="0" applyFont="1" applyFill="1" applyBorder="1" applyAlignment="1">
      <alignment horizontal="left" vertical="center"/>
    </xf>
    <xf numFmtId="0" fontId="14" fillId="3" borderId="13" xfId="0" applyFont="1" applyFill="1" applyBorder="1" applyAlignment="1">
      <alignment horizontal="center" vertical="center"/>
    </xf>
    <xf numFmtId="170" fontId="13" fillId="2" borderId="19" xfId="0" applyNumberFormat="1" applyFont="1" applyFill="1" applyBorder="1" applyAlignment="1">
      <alignment horizontal="right" vertical="center"/>
    </xf>
    <xf numFmtId="0" fontId="12" fillId="2" borderId="26" xfId="0" applyFont="1" applyFill="1" applyBorder="1" applyAlignment="1">
      <alignment vertical="center"/>
    </xf>
    <xf numFmtId="170" fontId="13" fillId="0" borderId="0" xfId="0" applyNumberFormat="1" applyFont="1" applyAlignment="1">
      <alignment vertical="center"/>
    </xf>
    <xf numFmtId="0" fontId="13" fillId="0" borderId="17" xfId="0" applyFont="1" applyBorder="1" applyAlignment="1">
      <alignment vertical="center"/>
    </xf>
    <xf numFmtId="0" fontId="13" fillId="0" borderId="19" xfId="0" applyFont="1" applyBorder="1" applyAlignment="1">
      <alignment vertical="center"/>
    </xf>
    <xf numFmtId="170" fontId="13" fillId="0" borderId="19" xfId="0" applyNumberFormat="1" applyFont="1" applyBorder="1" applyAlignment="1">
      <alignment horizontal="right" vertical="center"/>
    </xf>
    <xf numFmtId="170" fontId="13" fillId="0" borderId="19" xfId="0" applyNumberFormat="1" applyFont="1" applyBorder="1" applyAlignment="1">
      <alignment vertical="center"/>
    </xf>
    <xf numFmtId="0" fontId="14" fillId="3" borderId="10" xfId="0" applyFont="1" applyFill="1" applyBorder="1" applyAlignment="1">
      <alignment vertical="center"/>
    </xf>
    <xf numFmtId="0" fontId="13" fillId="2" borderId="18" xfId="0" applyFont="1" applyFill="1" applyBorder="1" applyAlignment="1">
      <alignment vertical="center"/>
    </xf>
    <xf numFmtId="2" fontId="13" fillId="0" borderId="19" xfId="0" applyNumberFormat="1" applyFont="1" applyBorder="1" applyAlignment="1">
      <alignment horizontal="right" vertical="center"/>
    </xf>
    <xf numFmtId="0" fontId="24" fillId="2" borderId="0" xfId="6" applyFill="1"/>
    <xf numFmtId="0" fontId="25" fillId="2" borderId="0" xfId="6" applyFont="1" applyFill="1" applyAlignment="1">
      <alignment vertical="center" wrapText="1"/>
    </xf>
    <xf numFmtId="0" fontId="26" fillId="2" borderId="0" xfId="6" applyFont="1" applyFill="1" applyAlignment="1">
      <alignment vertical="center" wrapText="1"/>
    </xf>
    <xf numFmtId="0" fontId="24" fillId="2" borderId="14" xfId="6" applyFill="1" applyBorder="1"/>
    <xf numFmtId="0" fontId="24" fillId="2" borderId="15" xfId="6" applyFill="1" applyBorder="1" applyAlignment="1">
      <alignment horizontal="left"/>
    </xf>
    <xf numFmtId="0" fontId="24" fillId="2" borderId="15" xfId="6" applyFill="1" applyBorder="1"/>
    <xf numFmtId="0" fontId="24" fillId="2" borderId="13" xfId="6" applyFill="1" applyBorder="1"/>
    <xf numFmtId="0" fontId="24" fillId="2" borderId="16" xfId="6" applyFill="1" applyBorder="1"/>
    <xf numFmtId="0" fontId="24" fillId="2" borderId="0" xfId="6" applyFill="1" applyAlignment="1">
      <alignment horizontal="left"/>
    </xf>
    <xf numFmtId="0" fontId="27" fillId="2" borderId="0" xfId="6" applyFont="1" applyFill="1" applyAlignment="1">
      <alignment horizontal="center" vertical="center"/>
    </xf>
    <xf numFmtId="0" fontId="24" fillId="2" borderId="17" xfId="6" applyFill="1" applyBorder="1"/>
    <xf numFmtId="0" fontId="29" fillId="2" borderId="0" xfId="6" applyFont="1" applyFill="1" applyAlignment="1">
      <alignment horizontal="center" vertical="center"/>
    </xf>
    <xf numFmtId="0" fontId="17" fillId="2" borderId="0" xfId="6" applyFont="1" applyFill="1" applyAlignment="1">
      <alignment horizontal="center" vertical="center"/>
    </xf>
    <xf numFmtId="0" fontId="2" fillId="2" borderId="16" xfId="6" applyFont="1" applyFill="1" applyBorder="1" applyAlignment="1">
      <alignment horizontal="center" vertical="center"/>
    </xf>
    <xf numFmtId="0" fontId="3" fillId="8" borderId="2" xfId="6" applyFont="1" applyFill="1" applyBorder="1" applyAlignment="1">
      <alignment horizontal="left" vertical="center" indent="1"/>
    </xf>
    <xf numFmtId="0" fontId="2" fillId="8" borderId="3" xfId="6" applyFont="1" applyFill="1" applyBorder="1" applyAlignment="1">
      <alignment horizontal="center" vertical="center"/>
    </xf>
    <xf numFmtId="0" fontId="2" fillId="8" borderId="4" xfId="6" applyFont="1" applyFill="1" applyBorder="1" applyAlignment="1">
      <alignment horizontal="center" vertical="center"/>
    </xf>
    <xf numFmtId="0" fontId="2" fillId="2" borderId="17" xfId="6" applyFont="1" applyFill="1" applyBorder="1" applyAlignment="1">
      <alignment horizontal="center" vertical="center"/>
    </xf>
    <xf numFmtId="0" fontId="2" fillId="2" borderId="0" xfId="6" applyFont="1" applyFill="1" applyAlignment="1">
      <alignment horizontal="center" vertical="center"/>
    </xf>
    <xf numFmtId="0" fontId="3" fillId="2" borderId="7" xfId="6" applyFont="1" applyFill="1" applyBorder="1" applyAlignment="1">
      <alignment horizontal="left" vertical="center"/>
    </xf>
    <xf numFmtId="0" fontId="2" fillId="2" borderId="8" xfId="6" applyFont="1" applyFill="1" applyBorder="1" applyAlignment="1">
      <alignment horizontal="center" vertical="center"/>
    </xf>
    <xf numFmtId="0" fontId="2" fillId="2" borderId="9" xfId="6" applyFont="1" applyFill="1" applyBorder="1" applyAlignment="1">
      <alignment horizontal="center" vertical="center"/>
    </xf>
    <xf numFmtId="0" fontId="2" fillId="2" borderId="0" xfId="6" applyFont="1" applyFill="1" applyAlignment="1">
      <alignment horizontal="left" vertical="center"/>
    </xf>
    <xf numFmtId="174" fontId="2" fillId="2" borderId="0" xfId="7" applyFont="1" applyFill="1" applyAlignment="1">
      <alignment horizontal="center" vertical="center"/>
    </xf>
    <xf numFmtId="175" fontId="2" fillId="2" borderId="7" xfId="6" applyNumberFormat="1" applyFont="1" applyFill="1" applyBorder="1" applyAlignment="1">
      <alignment horizontal="center" vertical="center"/>
    </xf>
    <xf numFmtId="0" fontId="3" fillId="8" borderId="3" xfId="6" applyFont="1" applyFill="1" applyBorder="1" applyAlignment="1">
      <alignment horizontal="center" vertical="center"/>
    </xf>
    <xf numFmtId="0" fontId="3" fillId="8" borderId="4" xfId="6" applyFont="1" applyFill="1" applyBorder="1" applyAlignment="1">
      <alignment horizontal="center" vertical="center"/>
    </xf>
    <xf numFmtId="0" fontId="2" fillId="2" borderId="5" xfId="6" applyFont="1" applyFill="1" applyBorder="1" applyAlignment="1">
      <alignment horizontal="left" vertical="center"/>
    </xf>
    <xf numFmtId="0" fontId="30" fillId="2" borderId="6" xfId="6" applyFont="1" applyFill="1" applyBorder="1" applyAlignment="1">
      <alignment horizontal="left" vertical="center"/>
    </xf>
    <xf numFmtId="0" fontId="2" fillId="2" borderId="7" xfId="6" applyFont="1" applyFill="1" applyBorder="1" applyAlignment="1">
      <alignment horizontal="left" vertical="center"/>
    </xf>
    <xf numFmtId="0" fontId="30" fillId="2" borderId="9" xfId="6" applyFont="1" applyFill="1" applyBorder="1" applyAlignment="1">
      <alignment horizontal="left" vertical="center"/>
    </xf>
    <xf numFmtId="0" fontId="32" fillId="8" borderId="3" xfId="6" applyFont="1" applyFill="1" applyBorder="1" applyAlignment="1">
      <alignment horizontal="center" vertical="center"/>
    </xf>
    <xf numFmtId="0" fontId="32" fillId="8" borderId="4" xfId="6" applyFont="1" applyFill="1" applyBorder="1" applyAlignment="1">
      <alignment horizontal="center" vertical="center"/>
    </xf>
    <xf numFmtId="0" fontId="2" fillId="2" borderId="5" xfId="6" applyFont="1" applyFill="1" applyBorder="1" applyAlignment="1">
      <alignment horizontal="left" vertical="center" indent="1"/>
    </xf>
    <xf numFmtId="0" fontId="17" fillId="5" borderId="0" xfId="6" applyFont="1" applyFill="1" applyAlignment="1">
      <alignment horizontal="center" vertical="center"/>
    </xf>
    <xf numFmtId="0" fontId="2" fillId="2" borderId="6" xfId="6" applyFont="1" applyFill="1" applyBorder="1" applyAlignment="1">
      <alignment horizontal="center" vertical="center"/>
    </xf>
    <xf numFmtId="0" fontId="2" fillId="6" borderId="25" xfId="4" applyNumberFormat="1" applyFill="1" applyAlignment="1">
      <alignment horizontal="center"/>
    </xf>
    <xf numFmtId="0" fontId="2" fillId="2" borderId="7" xfId="6" applyFont="1" applyFill="1" applyBorder="1" applyAlignment="1">
      <alignment horizontal="left" vertical="center" indent="1"/>
    </xf>
    <xf numFmtId="0" fontId="2" fillId="2" borderId="0" xfId="6" applyFont="1" applyFill="1" applyAlignment="1">
      <alignment horizontal="left" vertical="center" indent="1"/>
    </xf>
    <xf numFmtId="0" fontId="2" fillId="2" borderId="18" xfId="6" applyFont="1" applyFill="1" applyBorder="1"/>
    <xf numFmtId="0" fontId="2" fillId="2" borderId="19" xfId="6" applyFont="1" applyFill="1" applyBorder="1" applyAlignment="1">
      <alignment horizontal="left"/>
    </xf>
    <xf numFmtId="0" fontId="2" fillId="2" borderId="19" xfId="6" applyFont="1" applyFill="1" applyBorder="1"/>
    <xf numFmtId="0" fontId="2" fillId="2" borderId="20" xfId="6" applyFont="1" applyFill="1" applyBorder="1"/>
    <xf numFmtId="0" fontId="2" fillId="2" borderId="0" xfId="6" applyFont="1" applyFill="1"/>
    <xf numFmtId="0" fontId="2" fillId="2" borderId="0" xfId="6" applyFont="1" applyFill="1" applyAlignment="1">
      <alignment horizontal="left"/>
    </xf>
    <xf numFmtId="0" fontId="34" fillId="2" borderId="0" xfId="6" applyFont="1" applyFill="1" applyAlignment="1">
      <alignment wrapText="1"/>
    </xf>
    <xf numFmtId="0" fontId="23" fillId="2" borderId="0" xfId="5" applyFill="1" applyAlignment="1">
      <alignment horizontal="center" vertical="center"/>
    </xf>
    <xf numFmtId="0" fontId="10" fillId="2" borderId="0" xfId="6" applyFont="1" applyFill="1" applyAlignment="1">
      <alignment horizontal="center"/>
    </xf>
    <xf numFmtId="0" fontId="13" fillId="2" borderId="0" xfId="6" applyFont="1" applyFill="1"/>
    <xf numFmtId="0" fontId="14" fillId="3" borderId="14" xfId="6" applyFont="1" applyFill="1" applyBorder="1" applyAlignment="1">
      <alignment horizontal="left"/>
    </xf>
    <xf numFmtId="0" fontId="14" fillId="3" borderId="13" xfId="6" applyFont="1" applyFill="1" applyBorder="1"/>
    <xf numFmtId="0" fontId="13" fillId="3" borderId="14" xfId="6" applyFont="1" applyFill="1" applyBorder="1"/>
    <xf numFmtId="0" fontId="13" fillId="3" borderId="15" xfId="6" applyFont="1" applyFill="1" applyBorder="1"/>
    <xf numFmtId="0" fontId="19" fillId="3" borderId="15" xfId="6" applyFont="1" applyFill="1" applyBorder="1"/>
    <xf numFmtId="0" fontId="13" fillId="3" borderId="13" xfId="6" applyFont="1" applyFill="1" applyBorder="1"/>
    <xf numFmtId="0" fontId="13" fillId="2" borderId="16" xfId="6" applyFont="1" applyFill="1" applyBorder="1" applyAlignment="1">
      <alignment horizontal="left" indent="1"/>
    </xf>
    <xf numFmtId="164" fontId="13" fillId="2" borderId="17" xfId="6" applyNumberFormat="1" applyFont="1" applyFill="1" applyBorder="1" applyAlignment="1">
      <alignment horizontal="center"/>
    </xf>
    <xf numFmtId="0" fontId="13" fillId="2" borderId="16" xfId="6" applyFont="1" applyFill="1" applyBorder="1"/>
    <xf numFmtId="165" fontId="13" fillId="2" borderId="0" xfId="6" applyNumberFormat="1" applyFont="1" applyFill="1"/>
    <xf numFmtId="165" fontId="13" fillId="2" borderId="17" xfId="6" applyNumberFormat="1" applyFont="1" applyFill="1" applyBorder="1"/>
    <xf numFmtId="0" fontId="13" fillId="2" borderId="16" xfId="6" applyFont="1" applyFill="1" applyBorder="1" applyAlignment="1">
      <alignment horizontal="left" indent="3"/>
    </xf>
    <xf numFmtId="0" fontId="13" fillId="6" borderId="29" xfId="4" applyNumberFormat="1" applyFont="1" applyFill="1" applyBorder="1" applyAlignment="1">
      <alignment horizontal="center"/>
    </xf>
    <xf numFmtId="164" fontId="13" fillId="2" borderId="0" xfId="6" applyNumberFormat="1" applyFont="1" applyFill="1"/>
    <xf numFmtId="164" fontId="13" fillId="2" borderId="17" xfId="6" applyNumberFormat="1" applyFont="1" applyFill="1" applyBorder="1"/>
    <xf numFmtId="0" fontId="18" fillId="5" borderId="17" xfId="6" applyFont="1" applyFill="1" applyBorder="1" applyAlignment="1">
      <alignment horizontal="center" vertical="center"/>
    </xf>
    <xf numFmtId="0" fontId="18" fillId="2" borderId="17" xfId="6" applyFont="1" applyFill="1" applyBorder="1" applyAlignment="1">
      <alignment horizontal="center" vertical="center"/>
    </xf>
    <xf numFmtId="167" fontId="18" fillId="2" borderId="17" xfId="6" applyNumberFormat="1" applyFont="1" applyFill="1" applyBorder="1" applyAlignment="1">
      <alignment horizontal="center" vertical="center"/>
    </xf>
    <xf numFmtId="0" fontId="13" fillId="2" borderId="14" xfId="6" applyFont="1" applyFill="1" applyBorder="1"/>
    <xf numFmtId="167" fontId="13" fillId="2" borderId="15" xfId="6" applyNumberFormat="1" applyFont="1" applyFill="1" applyBorder="1"/>
    <xf numFmtId="164" fontId="13" fillId="2" borderId="15" xfId="6" applyNumberFormat="1" applyFont="1" applyFill="1" applyBorder="1"/>
    <xf numFmtId="164" fontId="13" fillId="2" borderId="13" xfId="6" applyNumberFormat="1" applyFont="1" applyFill="1" applyBorder="1"/>
    <xf numFmtId="0" fontId="13" fillId="2" borderId="16" xfId="6" applyFont="1" applyFill="1" applyBorder="1" applyAlignment="1">
      <alignment horizontal="left" indent="2"/>
    </xf>
    <xf numFmtId="167" fontId="18" fillId="5" borderId="17" xfId="6" applyNumberFormat="1" applyFont="1" applyFill="1" applyBorder="1" applyAlignment="1">
      <alignment horizontal="center" vertical="center"/>
    </xf>
    <xf numFmtId="0" fontId="13" fillId="2" borderId="18" xfId="6" applyFont="1" applyFill="1" applyBorder="1"/>
    <xf numFmtId="167" fontId="13" fillId="2" borderId="19" xfId="6" applyNumberFormat="1" applyFont="1" applyFill="1" applyBorder="1"/>
    <xf numFmtId="164" fontId="13" fillId="2" borderId="19" xfId="6" applyNumberFormat="1" applyFont="1" applyFill="1" applyBorder="1"/>
    <xf numFmtId="164" fontId="13" fillId="2" borderId="20" xfId="6" applyNumberFormat="1" applyFont="1" applyFill="1" applyBorder="1"/>
    <xf numFmtId="167" fontId="13" fillId="2" borderId="0" xfId="6" applyNumberFormat="1" applyFont="1" applyFill="1"/>
    <xf numFmtId="0" fontId="13" fillId="2" borderId="0" xfId="6" applyFont="1" applyFill="1" applyAlignment="1">
      <alignment horizontal="center"/>
    </xf>
    <xf numFmtId="0" fontId="13" fillId="2" borderId="17" xfId="6" applyFont="1" applyFill="1" applyBorder="1" applyAlignment="1">
      <alignment horizontal="center"/>
    </xf>
    <xf numFmtId="9" fontId="18" fillId="5" borderId="17" xfId="6" applyNumberFormat="1" applyFont="1" applyFill="1" applyBorder="1" applyAlignment="1">
      <alignment horizontal="center" vertical="center"/>
    </xf>
    <xf numFmtId="0" fontId="18" fillId="5" borderId="0" xfId="6" applyFont="1" applyFill="1" applyAlignment="1">
      <alignment horizontal="center" vertical="center"/>
    </xf>
    <xf numFmtId="9" fontId="18" fillId="5" borderId="0" xfId="6" applyNumberFormat="1" applyFont="1" applyFill="1" applyAlignment="1">
      <alignment horizontal="center" vertical="center"/>
    </xf>
    <xf numFmtId="166" fontId="13" fillId="2" borderId="0" xfId="9" applyNumberFormat="1" applyFont="1" applyFill="1" applyBorder="1" applyAlignment="1">
      <alignment horizontal="center" vertical="center"/>
    </xf>
    <xf numFmtId="166" fontId="13" fillId="2" borderId="17" xfId="9" applyNumberFormat="1" applyFont="1" applyFill="1" applyBorder="1" applyAlignment="1">
      <alignment horizontal="center" vertical="center"/>
    </xf>
    <xf numFmtId="166" fontId="36" fillId="2" borderId="0" xfId="6" applyNumberFormat="1" applyFont="1" applyFill="1" applyAlignment="1">
      <alignment horizontal="center" vertical="center"/>
    </xf>
    <xf numFmtId="166" fontId="36" fillId="2" borderId="17" xfId="6" applyNumberFormat="1" applyFont="1" applyFill="1" applyBorder="1" applyAlignment="1">
      <alignment horizontal="center" vertical="center"/>
    </xf>
    <xf numFmtId="0" fontId="13" fillId="2" borderId="17" xfId="6" applyFont="1" applyFill="1" applyBorder="1"/>
    <xf numFmtId="167" fontId="18" fillId="5" borderId="0" xfId="7" applyNumberFormat="1" applyFont="1" applyFill="1" applyBorder="1" applyAlignment="1">
      <alignment horizontal="center" vertical="center"/>
    </xf>
    <xf numFmtId="167" fontId="18" fillId="5" borderId="17" xfId="7" applyNumberFormat="1" applyFont="1" applyFill="1" applyBorder="1" applyAlignment="1">
      <alignment horizontal="center" vertical="center"/>
    </xf>
    <xf numFmtId="9" fontId="13" fillId="2" borderId="17" xfId="6" applyNumberFormat="1" applyFont="1" applyFill="1" applyBorder="1"/>
    <xf numFmtId="167" fontId="13" fillId="2" borderId="0" xfId="7" applyNumberFormat="1" applyFont="1" applyFill="1" applyBorder="1"/>
    <xf numFmtId="167" fontId="13" fillId="2" borderId="17" xfId="7" applyNumberFormat="1" applyFont="1" applyFill="1" applyBorder="1"/>
    <xf numFmtId="9" fontId="13" fillId="2" borderId="0" xfId="10" applyFont="1" applyFill="1" applyBorder="1"/>
    <xf numFmtId="0" fontId="12" fillId="2" borderId="16" xfId="6" applyFont="1" applyFill="1" applyBorder="1"/>
    <xf numFmtId="0" fontId="12" fillId="2" borderId="0" xfId="6" applyFont="1" applyFill="1"/>
    <xf numFmtId="0" fontId="13" fillId="2" borderId="18" xfId="6" applyFont="1" applyFill="1" applyBorder="1" applyAlignment="1">
      <alignment horizontal="left" indent="1"/>
    </xf>
    <xf numFmtId="9" fontId="18" fillId="5" borderId="20" xfId="6" applyNumberFormat="1" applyFont="1" applyFill="1" applyBorder="1" applyAlignment="1">
      <alignment horizontal="center" vertical="center"/>
    </xf>
    <xf numFmtId="168" fontId="13" fillId="2" borderId="0" xfId="10" applyNumberFormat="1" applyFont="1" applyFill="1"/>
    <xf numFmtId="0" fontId="13" fillId="2" borderId="0" xfId="6" applyFont="1" applyFill="1" applyAlignment="1">
      <alignment horizontal="left" indent="2"/>
    </xf>
    <xf numFmtId="167" fontId="18" fillId="2" borderId="0" xfId="6" applyNumberFormat="1" applyFont="1" applyFill="1" applyAlignment="1">
      <alignment horizontal="center" vertical="center"/>
    </xf>
    <xf numFmtId="167" fontId="13" fillId="2" borderId="17" xfId="6" applyNumberFormat="1" applyFont="1" applyFill="1" applyBorder="1"/>
    <xf numFmtId="176" fontId="13" fillId="2" borderId="17" xfId="6" applyNumberFormat="1" applyFont="1" applyFill="1" applyBorder="1" applyAlignment="1">
      <alignment horizontal="left" indent="2"/>
    </xf>
    <xf numFmtId="167" fontId="18" fillId="2" borderId="0" xfId="7" applyNumberFormat="1" applyFont="1" applyFill="1" applyBorder="1" applyAlignment="1">
      <alignment horizontal="center" vertical="center"/>
    </xf>
    <xf numFmtId="167" fontId="18" fillId="2" borderId="17" xfId="7" applyNumberFormat="1" applyFont="1" applyFill="1" applyBorder="1" applyAlignment="1">
      <alignment horizontal="center" vertical="center"/>
    </xf>
    <xf numFmtId="172" fontId="13" fillId="2" borderId="20" xfId="6" applyNumberFormat="1" applyFont="1" applyFill="1" applyBorder="1" applyAlignment="1">
      <alignment horizontal="center"/>
    </xf>
    <xf numFmtId="10" fontId="13" fillId="2" borderId="0" xfId="10" applyNumberFormat="1" applyFont="1" applyFill="1"/>
    <xf numFmtId="0" fontId="16" fillId="2" borderId="16" xfId="6" applyFont="1" applyFill="1" applyBorder="1"/>
    <xf numFmtId="0" fontId="16" fillId="2" borderId="0" xfId="6" applyFont="1" applyFill="1"/>
    <xf numFmtId="0" fontId="22" fillId="2" borderId="0" xfId="6" applyFont="1" applyFill="1" applyAlignment="1">
      <alignment horizontal="left" indent="1"/>
    </xf>
    <xf numFmtId="2" fontId="13" fillId="2" borderId="0" xfId="10" applyNumberFormat="1" applyFont="1" applyFill="1"/>
    <xf numFmtId="0" fontId="33" fillId="2" borderId="16" xfId="6" applyFont="1" applyFill="1" applyBorder="1" applyAlignment="1">
      <alignment horizontal="left" indent="1"/>
    </xf>
    <xf numFmtId="168" fontId="37" fillId="2" borderId="0" xfId="10" applyNumberFormat="1" applyFont="1" applyFill="1" applyBorder="1" applyAlignment="1">
      <alignment horizontal="center"/>
    </xf>
    <xf numFmtId="168" fontId="37" fillId="2" borderId="17" xfId="10" applyNumberFormat="1" applyFont="1" applyFill="1" applyBorder="1" applyAlignment="1">
      <alignment horizontal="center"/>
    </xf>
    <xf numFmtId="0" fontId="33" fillId="2" borderId="18" xfId="6" applyFont="1" applyFill="1" applyBorder="1" applyAlignment="1">
      <alignment horizontal="left" indent="1"/>
    </xf>
    <xf numFmtId="0" fontId="13" fillId="2" borderId="19" xfId="6" applyFont="1" applyFill="1" applyBorder="1"/>
    <xf numFmtId="168" fontId="37" fillId="2" borderId="19" xfId="10" applyNumberFormat="1" applyFont="1" applyFill="1" applyBorder="1" applyAlignment="1">
      <alignment horizontal="center"/>
    </xf>
    <xf numFmtId="168" fontId="37" fillId="2" borderId="20" xfId="10" applyNumberFormat="1" applyFont="1" applyFill="1" applyBorder="1" applyAlignment="1">
      <alignment horizontal="center"/>
    </xf>
    <xf numFmtId="0" fontId="24" fillId="0" borderId="0" xfId="6" applyAlignment="1">
      <alignment horizontal="left" vertical="center" indent="1"/>
    </xf>
    <xf numFmtId="174" fontId="13" fillId="2" borderId="0" xfId="6" applyNumberFormat="1" applyFont="1" applyFill="1"/>
    <xf numFmtId="0" fontId="38" fillId="2" borderId="0" xfId="6" applyFont="1" applyFill="1" applyAlignment="1">
      <alignment horizontal="left" vertical="center" indent="1"/>
    </xf>
    <xf numFmtId="0" fontId="24" fillId="2" borderId="0" xfId="6" applyFill="1" applyAlignment="1">
      <alignment horizontal="left" vertical="center" indent="1"/>
    </xf>
    <xf numFmtId="0" fontId="24" fillId="2" borderId="0" xfId="6" applyFill="1" applyAlignment="1">
      <alignment horizontal="left" vertical="center" indent="2"/>
    </xf>
    <xf numFmtId="0" fontId="23" fillId="0" borderId="8" xfId="5" applyBorder="1" applyAlignment="1">
      <alignment horizontal="center"/>
    </xf>
    <xf numFmtId="0" fontId="40" fillId="3" borderId="14" xfId="6" applyFont="1" applyFill="1" applyBorder="1" applyAlignment="1">
      <alignment horizontal="left"/>
    </xf>
    <xf numFmtId="0" fontId="40" fillId="3" borderId="13" xfId="6" applyFont="1" applyFill="1" applyBorder="1" applyAlignment="1">
      <alignment horizontal="center"/>
    </xf>
    <xf numFmtId="0" fontId="24" fillId="2" borderId="17" xfId="6" applyFill="1" applyBorder="1" applyAlignment="1">
      <alignment wrapText="1"/>
    </xf>
    <xf numFmtId="0" fontId="24" fillId="2" borderId="18" xfId="6" applyFill="1" applyBorder="1"/>
    <xf numFmtId="0" fontId="24" fillId="2" borderId="20" xfId="6" applyFill="1" applyBorder="1"/>
    <xf numFmtId="0" fontId="2" fillId="2" borderId="8" xfId="6" quotePrefix="1" applyFont="1" applyFill="1" applyBorder="1" applyAlignment="1">
      <alignment horizontal="center" vertical="center"/>
    </xf>
    <xf numFmtId="169" fontId="13" fillId="2" borderId="19" xfId="2" applyNumberFormat="1" applyFont="1" applyFill="1" applyBorder="1"/>
    <xf numFmtId="169" fontId="13" fillId="2" borderId="20" xfId="2" applyNumberFormat="1" applyFont="1" applyFill="1" applyBorder="1"/>
    <xf numFmtId="0" fontId="3" fillId="3" borderId="14" xfId="0" applyFont="1" applyFill="1" applyBorder="1"/>
    <xf numFmtId="0" fontId="3" fillId="3" borderId="15" xfId="0" applyFont="1" applyFill="1" applyBorder="1"/>
    <xf numFmtId="0" fontId="3" fillId="3" borderId="13" xfId="0" applyFont="1" applyFill="1" applyBorder="1"/>
    <xf numFmtId="0" fontId="2" fillId="2" borderId="26" xfId="0" applyFont="1" applyFill="1" applyBorder="1"/>
    <xf numFmtId="9" fontId="17" fillId="5" borderId="27" xfId="0" applyNumberFormat="1" applyFont="1" applyFill="1" applyBorder="1" applyAlignment="1">
      <alignment horizontal="center" vertical="center"/>
    </xf>
    <xf numFmtId="0" fontId="2" fillId="2" borderId="16" xfId="0" applyFont="1" applyFill="1" applyBorder="1"/>
    <xf numFmtId="0" fontId="17" fillId="5" borderId="17" xfId="0" applyFont="1" applyFill="1" applyBorder="1" applyAlignment="1">
      <alignment horizontal="center" vertical="center"/>
    </xf>
    <xf numFmtId="9" fontId="17" fillId="5" borderId="17" xfId="0" applyNumberFormat="1" applyFont="1" applyFill="1" applyBorder="1" applyAlignment="1">
      <alignment horizontal="center" vertical="center"/>
    </xf>
    <xf numFmtId="0" fontId="2" fillId="2" borderId="18" xfId="0" applyFont="1" applyFill="1" applyBorder="1"/>
    <xf numFmtId="44" fontId="17" fillId="5" borderId="19" xfId="2" applyFont="1" applyFill="1" applyBorder="1" applyAlignment="1">
      <alignment horizontal="center" vertical="center"/>
    </xf>
    <xf numFmtId="9" fontId="17" fillId="5" borderId="20" xfId="0" applyNumberFormat="1" applyFont="1" applyFill="1" applyBorder="1" applyAlignment="1">
      <alignment horizontal="center" vertical="center"/>
    </xf>
    <xf numFmtId="167" fontId="2" fillId="2" borderId="2" xfId="0" applyNumberFormat="1" applyFont="1" applyFill="1" applyBorder="1"/>
    <xf numFmtId="167" fontId="2" fillId="2" borderId="3" xfId="0" applyNumberFormat="1" applyFont="1" applyFill="1" applyBorder="1"/>
    <xf numFmtId="167" fontId="2" fillId="2" borderId="4" xfId="0" applyNumberFormat="1" applyFont="1" applyFill="1" applyBorder="1"/>
    <xf numFmtId="44" fontId="2" fillId="2" borderId="5" xfId="2" applyFont="1" applyFill="1" applyBorder="1"/>
    <xf numFmtId="44" fontId="2" fillId="2" borderId="0" xfId="2" applyFont="1" applyFill="1" applyBorder="1"/>
    <xf numFmtId="44" fontId="2" fillId="2" borderId="6" xfId="2" applyFont="1" applyFill="1" applyBorder="1"/>
    <xf numFmtId="167" fontId="2" fillId="2" borderId="5" xfId="0" applyNumberFormat="1" applyFont="1" applyFill="1" applyBorder="1"/>
    <xf numFmtId="167" fontId="2" fillId="2" borderId="0" xfId="0" applyNumberFormat="1" applyFont="1" applyFill="1"/>
    <xf numFmtId="167" fontId="2" fillId="2" borderId="6" xfId="0" applyNumberFormat="1" applyFont="1" applyFill="1" applyBorder="1"/>
    <xf numFmtId="44" fontId="2" fillId="2" borderId="7" xfId="2" applyFont="1" applyFill="1" applyBorder="1"/>
    <xf numFmtId="44" fontId="2" fillId="2" borderId="8" xfId="2" applyFont="1" applyFill="1" applyBorder="1"/>
    <xf numFmtId="44" fontId="2" fillId="2" borderId="9" xfId="2" applyFont="1" applyFill="1" applyBorder="1"/>
    <xf numFmtId="169" fontId="16" fillId="2" borderId="7" xfId="0" applyNumberFormat="1" applyFont="1" applyFill="1" applyBorder="1"/>
    <xf numFmtId="169" fontId="16" fillId="2" borderId="8" xfId="0" applyNumberFormat="1" applyFont="1" applyFill="1" applyBorder="1"/>
    <xf numFmtId="169" fontId="16" fillId="2" borderId="9" xfId="0" applyNumberFormat="1" applyFont="1" applyFill="1" applyBorder="1"/>
    <xf numFmtId="0" fontId="33" fillId="2" borderId="7" xfId="6" applyFont="1" applyFill="1" applyBorder="1" applyAlignment="1">
      <alignment horizontal="left" vertical="center" wrapText="1"/>
    </xf>
    <xf numFmtId="0" fontId="33" fillId="2" borderId="8" xfId="6" applyFont="1" applyFill="1" applyBorder="1" applyAlignment="1">
      <alignment horizontal="left" vertical="center" wrapText="1"/>
    </xf>
    <xf numFmtId="0" fontId="33" fillId="2" borderId="9" xfId="6" applyFont="1" applyFill="1" applyBorder="1" applyAlignment="1">
      <alignment horizontal="left" vertical="center" wrapText="1"/>
    </xf>
  </cellXfs>
  <cellStyles count="11">
    <cellStyle name="Comma" xfId="1" builtinId="3"/>
    <cellStyle name="Comma 2" xfId="9" xr:uid="{37E44197-93D5-498C-ABA6-C42754C7CA6C}"/>
    <cellStyle name="Currency" xfId="2" builtinId="4"/>
    <cellStyle name="Currency 2" xfId="7" xr:uid="{0B6026BA-1888-45EA-896B-69136A288FAA}"/>
    <cellStyle name="Dropdown List" xfId="4" xr:uid="{51D9FF63-A28E-4B05-B2D2-EE93EC57CD41}"/>
    <cellStyle name="Hyperlink" xfId="5" builtinId="8"/>
    <cellStyle name="Hyperlink 2" xfId="8" xr:uid="{7A761C5E-5258-40BD-AA35-8B41C31C9932}"/>
    <cellStyle name="Normal" xfId="0" builtinId="0"/>
    <cellStyle name="Normal 2" xfId="6" xr:uid="{095CAF27-9894-4BE6-B0FD-FA9BC0ADC683}"/>
    <cellStyle name="Percent" xfId="3" builtinId="5"/>
    <cellStyle name="Percent 2" xfId="10" xr:uid="{4594BDFC-13C7-4566-97C7-DE9210597DA1}"/>
  </cellStyles>
  <dxfs count="0"/>
  <tableStyles count="0" defaultTableStyle="TableStyleMedium2" defaultPivotStyle="PivotStyleLight16"/>
  <colors>
    <mruColors>
      <color rgb="FF0000CC"/>
      <color rgb="FF000000"/>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a:t>
            </a:r>
            <a:r>
              <a:rPr lang="en-GB" baseline="0"/>
              <a:t> Yearly Revenue by Stream</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stacked"/>
        <c:varyColors val="0"/>
        <c:ser>
          <c:idx val="0"/>
          <c:order val="0"/>
          <c:tx>
            <c:strRef>
              <c:f>'Cash Flow Projection - Advanced'!$B$17</c:f>
              <c:strCache>
                <c:ptCount val="1"/>
                <c:pt idx="0">
                  <c:v>Room Revenue</c:v>
                </c:pt>
              </c:strCache>
            </c:strRef>
          </c:tx>
          <c:spPr>
            <a:solidFill>
              <a:schemeClr val="bg2"/>
            </a:solidFill>
            <a:ln>
              <a:noFill/>
            </a:ln>
            <a:effectLst/>
          </c:spPr>
          <c:invertIfNegative val="0"/>
          <c:dLbls>
            <c:numFmt formatCode="#,##0,&quot;K&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'Cash Flow Projection - Advanced'!$C$4:$M$4</c15:sqref>
                  </c15:fullRef>
                </c:ext>
              </c:extLst>
              <c:f>'Cash Flow Projection - Advanced'!$D$4:$M$4</c:f>
              <c:numCache>
                <c:formatCode>"Year "General</c:formatCode>
                <c:ptCount val="10"/>
                <c:pt idx="0">
                  <c:v>1</c:v>
                </c:pt>
                <c:pt idx="1">
                  <c:v>2</c:v>
                </c:pt>
                <c:pt idx="2">
                  <c:v>3</c:v>
                </c:pt>
                <c:pt idx="3">
                  <c:v>4</c:v>
                </c:pt>
                <c:pt idx="4">
                  <c:v>5</c:v>
                </c:pt>
                <c:pt idx="5">
                  <c:v>6</c:v>
                </c:pt>
                <c:pt idx="6">
                  <c:v>7</c:v>
                </c:pt>
                <c:pt idx="7">
                  <c:v>8</c:v>
                </c:pt>
                <c:pt idx="8">
                  <c:v>9</c:v>
                </c:pt>
                <c:pt idx="9">
                  <c:v>10</c:v>
                </c:pt>
              </c:numCache>
            </c:numRef>
          </c:cat>
          <c:val>
            <c:numRef>
              <c:extLst>
                <c:ext xmlns:c15="http://schemas.microsoft.com/office/drawing/2012/chart" uri="{02D57815-91ED-43cb-92C2-25804820EDAC}">
                  <c15:fullRef>
                    <c15:sqref>'Cash Flow Projection - Advanced'!$C$17:$M$17</c15:sqref>
                  </c15:fullRef>
                </c:ext>
              </c:extLst>
              <c:f>'Cash Flow Projection - Advanced'!$D$17:$M$17</c:f>
              <c:numCache>
                <c:formatCode>_("£"* #,##0.00_);_("£"* \(#,##0.00\);_("£"* "-"??_);_(@_)</c:formatCode>
                <c:ptCount val="10"/>
                <c:pt idx="0">
                  <c:v>2600625</c:v>
                </c:pt>
                <c:pt idx="1">
                  <c:v>4017965.625</c:v>
                </c:pt>
                <c:pt idx="2">
                  <c:v>4426499.1600000011</c:v>
                </c:pt>
                <c:pt idx="3">
                  <c:v>4831014.3624375006</c:v>
                </c:pt>
                <c:pt idx="4">
                  <c:v>5268647.4282112513</c:v>
                </c:pt>
                <c:pt idx="5">
                  <c:v>5426706.8510575891</c:v>
                </c:pt>
                <c:pt idx="6">
                  <c:v>5604821.7772923019</c:v>
                </c:pt>
                <c:pt idx="7">
                  <c:v>5757193.2982869959</c:v>
                </c:pt>
                <c:pt idx="8">
                  <c:v>5929909.0972356061</c:v>
                </c:pt>
                <c:pt idx="9">
                  <c:v>6107806.3701526746</c:v>
                </c:pt>
              </c:numCache>
            </c:numRef>
          </c:val>
          <c:extLst>
            <c:ext xmlns:c16="http://schemas.microsoft.com/office/drawing/2014/chart" uri="{C3380CC4-5D6E-409C-BE32-E72D297353CC}">
              <c16:uniqueId val="{00000000-23DE-4597-A5BA-0EC2B6AE4875}"/>
            </c:ext>
          </c:extLst>
        </c:ser>
        <c:ser>
          <c:idx val="1"/>
          <c:order val="1"/>
          <c:tx>
            <c:strRef>
              <c:f>'Cash Flow Projection - Advanced'!$B$18</c:f>
              <c:strCache>
                <c:ptCount val="1"/>
                <c:pt idx="0">
                  <c:v>Food and Beverage Revenue</c:v>
                </c:pt>
              </c:strCache>
            </c:strRef>
          </c:tx>
          <c:spPr>
            <a:solidFill>
              <a:schemeClr val="tx2">
                <a:lumMod val="25000"/>
                <a:lumOff val="75000"/>
              </a:schemeClr>
            </a:solidFill>
            <a:ln>
              <a:noFill/>
            </a:ln>
            <a:effectLst/>
          </c:spPr>
          <c:invertIfNegative val="0"/>
          <c:dLbls>
            <c:numFmt formatCode="#,##0,&quot;K&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'Cash Flow Projection - Advanced'!$C$4:$M$4</c15:sqref>
                  </c15:fullRef>
                </c:ext>
              </c:extLst>
              <c:f>'Cash Flow Projection - Advanced'!$D$4:$M$4</c:f>
              <c:numCache>
                <c:formatCode>"Year "General</c:formatCode>
                <c:ptCount val="10"/>
                <c:pt idx="0">
                  <c:v>1</c:v>
                </c:pt>
                <c:pt idx="1">
                  <c:v>2</c:v>
                </c:pt>
                <c:pt idx="2">
                  <c:v>3</c:v>
                </c:pt>
                <c:pt idx="3">
                  <c:v>4</c:v>
                </c:pt>
                <c:pt idx="4">
                  <c:v>5</c:v>
                </c:pt>
                <c:pt idx="5">
                  <c:v>6</c:v>
                </c:pt>
                <c:pt idx="6">
                  <c:v>7</c:v>
                </c:pt>
                <c:pt idx="7">
                  <c:v>8</c:v>
                </c:pt>
                <c:pt idx="8">
                  <c:v>9</c:v>
                </c:pt>
                <c:pt idx="9">
                  <c:v>10</c:v>
                </c:pt>
              </c:numCache>
            </c:numRef>
          </c:cat>
          <c:val>
            <c:numRef>
              <c:extLst>
                <c:ext xmlns:c15="http://schemas.microsoft.com/office/drawing/2012/chart" uri="{02D57815-91ED-43cb-92C2-25804820EDAC}">
                  <c15:fullRef>
                    <c15:sqref>'Cash Flow Projection - Advanced'!$C$18:$M$18</c15:sqref>
                  </c15:fullRef>
                </c:ext>
              </c:extLst>
              <c:f>'Cash Flow Projection - Advanced'!$D$18:$M$18</c:f>
              <c:numCache>
                <c:formatCode>_("£"* #,##0.00_);_("£"* \(#,##0.00\);_("£"* "-"??_);_(@_)</c:formatCode>
                <c:ptCount val="10"/>
                <c:pt idx="0">
                  <c:v>1241056.25</c:v>
                </c:pt>
                <c:pt idx="1">
                  <c:v>1889463.9815000002</c:v>
                </c:pt>
                <c:pt idx="2">
                  <c:v>2077541.3737999999</c:v>
                </c:pt>
                <c:pt idx="3">
                  <c:v>2263881.5300620999</c:v>
                </c:pt>
                <c:pt idx="4">
                  <c:v>2465338.4144862117</c:v>
                </c:pt>
                <c:pt idx="5">
                  <c:v>2539298.5669207983</c:v>
                </c:pt>
                <c:pt idx="6">
                  <c:v>2622465.4164807848</c:v>
                </c:pt>
                <c:pt idx="7">
                  <c:v>2693941.8496462754</c:v>
                </c:pt>
                <c:pt idx="8">
                  <c:v>2774760.1051356634</c:v>
                </c:pt>
                <c:pt idx="9">
                  <c:v>2858002.9082897333</c:v>
                </c:pt>
              </c:numCache>
            </c:numRef>
          </c:val>
          <c:extLst>
            <c:ext xmlns:c16="http://schemas.microsoft.com/office/drawing/2014/chart" uri="{C3380CC4-5D6E-409C-BE32-E72D297353CC}">
              <c16:uniqueId val="{00000001-23DE-4597-A5BA-0EC2B6AE4875}"/>
            </c:ext>
          </c:extLst>
        </c:ser>
        <c:ser>
          <c:idx val="2"/>
          <c:order val="2"/>
          <c:tx>
            <c:strRef>
              <c:f>'Cash Flow Projection - Advanced'!$B$19</c:f>
              <c:strCache>
                <c:ptCount val="1"/>
                <c:pt idx="0">
                  <c:v>Other Operating Departments</c:v>
                </c:pt>
              </c:strCache>
            </c:strRef>
          </c:tx>
          <c:spPr>
            <a:solidFill>
              <a:schemeClr val="bg2">
                <a:lumMod val="40000"/>
                <a:lumOff val="60000"/>
              </a:schemeClr>
            </a:solidFill>
            <a:ln>
              <a:noFill/>
            </a:ln>
            <a:effectLst/>
          </c:spPr>
          <c:invertIfNegative val="0"/>
          <c:dLbls>
            <c:numFmt formatCode="#,##0,&quot;K&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'Cash Flow Projection - Advanced'!$C$4:$M$4</c15:sqref>
                  </c15:fullRef>
                </c:ext>
              </c:extLst>
              <c:f>'Cash Flow Projection - Advanced'!$D$4:$M$4</c:f>
              <c:numCache>
                <c:formatCode>"Year "General</c:formatCode>
                <c:ptCount val="10"/>
                <c:pt idx="0">
                  <c:v>1</c:v>
                </c:pt>
                <c:pt idx="1">
                  <c:v>2</c:v>
                </c:pt>
                <c:pt idx="2">
                  <c:v>3</c:v>
                </c:pt>
                <c:pt idx="3">
                  <c:v>4</c:v>
                </c:pt>
                <c:pt idx="4">
                  <c:v>5</c:v>
                </c:pt>
                <c:pt idx="5">
                  <c:v>6</c:v>
                </c:pt>
                <c:pt idx="6">
                  <c:v>7</c:v>
                </c:pt>
                <c:pt idx="7">
                  <c:v>8</c:v>
                </c:pt>
                <c:pt idx="8">
                  <c:v>9</c:v>
                </c:pt>
                <c:pt idx="9">
                  <c:v>10</c:v>
                </c:pt>
              </c:numCache>
            </c:numRef>
          </c:cat>
          <c:val>
            <c:numRef>
              <c:extLst>
                <c:ext xmlns:c15="http://schemas.microsoft.com/office/drawing/2012/chart" uri="{02D57815-91ED-43cb-92C2-25804820EDAC}">
                  <c15:fullRef>
                    <c15:sqref>'Cash Flow Projection - Advanced'!$C$19:$M$19</c15:sqref>
                  </c15:fullRef>
                </c:ext>
              </c:extLst>
              <c:f>'Cash Flow Projection - Advanced'!$D$19:$M$19</c:f>
              <c:numCache>
                <c:formatCode>_("£"* #,##0.00_);_("£"* \(#,##0.00\);_("£"* "-"??_);_(@_)</c:formatCode>
                <c:ptCount val="10"/>
                <c:pt idx="0">
                  <c:v>392500</c:v>
                </c:pt>
                <c:pt idx="1">
                  <c:v>402225</c:v>
                </c:pt>
                <c:pt idx="2">
                  <c:v>412201.25</c:v>
                </c:pt>
                <c:pt idx="3">
                  <c:v>422435.48249999998</c:v>
                </c:pt>
                <c:pt idx="4">
                  <c:v>432934.61592499999</c:v>
                </c:pt>
                <c:pt idx="5">
                  <c:v>443705.75988225004</c:v>
                </c:pt>
                <c:pt idx="6">
                  <c:v>454756.22056981252</c:v>
                </c:pt>
                <c:pt idx="7">
                  <c:v>466093.50634084892</c:v>
                </c:pt>
                <c:pt idx="8">
                  <c:v>477725.33342817047</c:v>
                </c:pt>
                <c:pt idx="9">
                  <c:v>489659.63183372963</c:v>
                </c:pt>
              </c:numCache>
            </c:numRef>
          </c:val>
          <c:extLst>
            <c:ext xmlns:c16="http://schemas.microsoft.com/office/drawing/2014/chart" uri="{C3380CC4-5D6E-409C-BE32-E72D297353CC}">
              <c16:uniqueId val="{00000002-23DE-4597-A5BA-0EC2B6AE4875}"/>
            </c:ext>
          </c:extLst>
        </c:ser>
        <c:dLbls>
          <c:showLegendKey val="0"/>
          <c:showVal val="0"/>
          <c:showCatName val="0"/>
          <c:showSerName val="0"/>
          <c:showPercent val="0"/>
          <c:showBubbleSize val="0"/>
        </c:dLbls>
        <c:gapWidth val="150"/>
        <c:overlap val="100"/>
        <c:axId val="34415536"/>
        <c:axId val="34412176"/>
      </c:barChart>
      <c:lineChart>
        <c:grouping val="standard"/>
        <c:varyColors val="0"/>
        <c:ser>
          <c:idx val="3"/>
          <c:order val="3"/>
          <c:tx>
            <c:strRef>
              <c:f>'Cash Flow Projection - Advanced'!$B$20</c:f>
              <c:strCache>
                <c:ptCount val="1"/>
                <c:pt idx="0">
                  <c:v>Total Revenue</c:v>
                </c:pt>
              </c:strCache>
            </c:strRef>
          </c:tx>
          <c:spPr>
            <a:ln w="28575" cap="rnd">
              <a:solidFill>
                <a:schemeClr val="tx2">
                  <a:lumMod val="75000"/>
                  <a:lumOff val="25000"/>
                </a:schemeClr>
              </a:solidFill>
              <a:round/>
            </a:ln>
            <a:effectLst/>
          </c:spPr>
          <c:marker>
            <c:symbol val="none"/>
          </c:marker>
          <c:dLbls>
            <c:numFmt formatCode="#,##0,&quot;K&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Year 1</c:v>
              </c:pt>
              <c:pt idx="1">
                <c:v>Year 2</c:v>
              </c:pt>
              <c:pt idx="2">
                <c:v>Year 3</c:v>
              </c:pt>
              <c:pt idx="3">
                <c:v>Year 4</c:v>
              </c:pt>
              <c:pt idx="4">
                <c:v>Year 5</c:v>
              </c:pt>
              <c:pt idx="5">
                <c:v>Year 6</c:v>
              </c:pt>
              <c:pt idx="6">
                <c:v>Year 7</c:v>
              </c:pt>
              <c:pt idx="7">
                <c:v>Year 8</c:v>
              </c:pt>
              <c:pt idx="8">
                <c:v>Year 9</c:v>
              </c:pt>
              <c:pt idx="9">
                <c:v>Year 10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'Cash Flow Projection - Advanced'!$C$20:$M$20</c15:sqref>
                  </c15:fullRef>
                </c:ext>
              </c:extLst>
              <c:f>'Cash Flow Projection - Advanced'!$D$20:$M$20</c:f>
              <c:numCache>
                <c:formatCode>_("£"* #,##0.00_);_("£"* \(#,##0.00\);_("£"* "-"??_);_(@_)</c:formatCode>
                <c:ptCount val="10"/>
                <c:pt idx="0">
                  <c:v>4234181.25</c:v>
                </c:pt>
                <c:pt idx="1">
                  <c:v>6309654.6064999998</c:v>
                </c:pt>
                <c:pt idx="2">
                  <c:v>6916241.7838000013</c:v>
                </c:pt>
                <c:pt idx="3">
                  <c:v>7517331.3749996005</c:v>
                </c:pt>
                <c:pt idx="4">
                  <c:v>8166920.458622463</c:v>
                </c:pt>
                <c:pt idx="5">
                  <c:v>8409711.1778606381</c:v>
                </c:pt>
                <c:pt idx="6">
                  <c:v>8682043.4143428989</c:v>
                </c:pt>
                <c:pt idx="7">
                  <c:v>8917228.6542741191</c:v>
                </c:pt>
                <c:pt idx="8">
                  <c:v>9182394.53579944</c:v>
                </c:pt>
                <c:pt idx="9">
                  <c:v>9455468.9102761392</c:v>
                </c:pt>
              </c:numCache>
            </c:numRef>
          </c:val>
          <c:smooth val="0"/>
          <c:extLst>
            <c:ext xmlns:c16="http://schemas.microsoft.com/office/drawing/2014/chart" uri="{C3380CC4-5D6E-409C-BE32-E72D297353CC}">
              <c16:uniqueId val="{00000005-23DE-4597-A5BA-0EC2B6AE4875}"/>
            </c:ext>
          </c:extLst>
        </c:ser>
        <c:dLbls>
          <c:showLegendKey val="0"/>
          <c:showVal val="0"/>
          <c:showCatName val="0"/>
          <c:showSerName val="0"/>
          <c:showPercent val="0"/>
          <c:showBubbleSize val="0"/>
        </c:dLbls>
        <c:marker val="1"/>
        <c:smooth val="0"/>
        <c:axId val="34415536"/>
        <c:axId val="34412176"/>
      </c:lineChart>
      <c:catAx>
        <c:axId val="34415536"/>
        <c:scaling>
          <c:orientation val="minMax"/>
        </c:scaling>
        <c:delete val="0"/>
        <c:axPos val="b"/>
        <c:numFmt formatCode="&quot;Year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12176"/>
        <c:crosses val="autoZero"/>
        <c:auto val="1"/>
        <c:lblAlgn val="ctr"/>
        <c:lblOffset val="100"/>
        <c:noMultiLvlLbl val="0"/>
      </c:catAx>
      <c:valAx>
        <c:axId val="34412176"/>
        <c:scaling>
          <c:orientation val="minMax"/>
        </c:scaling>
        <c:delete val="0"/>
        <c:axPos val="l"/>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15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Room Revenue Drivers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'Operating Cash Flow'!$B$12</c:f>
              <c:strCache>
                <c:ptCount val="1"/>
                <c:pt idx="0">
                  <c:v>ADR</c:v>
                </c:pt>
              </c:strCache>
            </c:strRef>
          </c:tx>
          <c:spPr>
            <a:solidFill>
              <a:schemeClr val="bg2">
                <a:lumMod val="40000"/>
                <a:lumOff val="60000"/>
              </a:schemeClr>
            </a:solidFill>
            <a:ln>
              <a:noFill/>
            </a:ln>
            <a:effectLst/>
          </c:spPr>
          <c:invertIfNegative val="0"/>
          <c:val>
            <c:numRef>
              <c:f>'Operating Cash Flow'!$C$12:$L$12</c:f>
              <c:numCache>
                <c:formatCode>_-[$£-809]* #,##0.00_-;\-[$£-809]* #,##0.00_-;_-[$£-809]* "-"??_-;_-@_-</c:formatCode>
                <c:ptCount val="10"/>
                <c:pt idx="0">
                  <c:v>95</c:v>
                </c:pt>
                <c:pt idx="1">
                  <c:v>97.850000000000009</c:v>
                </c:pt>
                <c:pt idx="2">
                  <c:v>100.78550000000001</c:v>
                </c:pt>
                <c:pt idx="3">
                  <c:v>103.80906500000002</c:v>
                </c:pt>
                <c:pt idx="4">
                  <c:v>106.92333695000002</c:v>
                </c:pt>
                <c:pt idx="5">
                  <c:v>110.13103705850003</c:v>
                </c:pt>
                <c:pt idx="6">
                  <c:v>113.43496817025503</c:v>
                </c:pt>
                <c:pt idx="7">
                  <c:v>116.83801721536268</c:v>
                </c:pt>
                <c:pt idx="8">
                  <c:v>120.34315773182357</c:v>
                </c:pt>
                <c:pt idx="9">
                  <c:v>123.95345246377828</c:v>
                </c:pt>
              </c:numCache>
            </c:numRef>
          </c:val>
          <c:extLst>
            <c:ext xmlns:c16="http://schemas.microsoft.com/office/drawing/2014/chart" uri="{C3380CC4-5D6E-409C-BE32-E72D297353CC}">
              <c16:uniqueId val="{00000001-3677-4EE9-A2E7-A1F64E735485}"/>
            </c:ext>
          </c:extLst>
        </c:ser>
        <c:ser>
          <c:idx val="2"/>
          <c:order val="2"/>
          <c:tx>
            <c:strRef>
              <c:f>'Operating Cash Flow'!$B$14</c:f>
              <c:strCache>
                <c:ptCount val="1"/>
                <c:pt idx="0">
                  <c:v>RevPar</c:v>
                </c:pt>
              </c:strCache>
            </c:strRef>
          </c:tx>
          <c:spPr>
            <a:solidFill>
              <a:schemeClr val="bg2"/>
            </a:solidFill>
            <a:ln>
              <a:noFill/>
            </a:ln>
            <a:effectLst/>
          </c:spPr>
          <c:invertIfNegative val="0"/>
          <c:val>
            <c:numRef>
              <c:f>'Operating Cash Flow'!$C$14:$L$14</c:f>
              <c:numCache>
                <c:formatCode>_-[$£-809]* #,##0.00_-;\-[$£-809]* #,##0.00_-;_-[$£-809]* "-"??_-;_-@_-</c:formatCode>
                <c:ptCount val="10"/>
                <c:pt idx="0">
                  <c:v>47.5</c:v>
                </c:pt>
                <c:pt idx="1">
                  <c:v>73.387500000000003</c:v>
                </c:pt>
                <c:pt idx="2">
                  <c:v>80.628400000000013</c:v>
                </c:pt>
                <c:pt idx="3">
                  <c:v>88.237705250000019</c:v>
                </c:pt>
                <c:pt idx="4">
                  <c:v>96.231003255000019</c:v>
                </c:pt>
                <c:pt idx="5">
                  <c:v>99.117933352650027</c:v>
                </c:pt>
                <c:pt idx="6">
                  <c:v>102.09147135322954</c:v>
                </c:pt>
                <c:pt idx="7">
                  <c:v>105.15421549382641</c:v>
                </c:pt>
                <c:pt idx="8">
                  <c:v>108.30884195864121</c:v>
                </c:pt>
                <c:pt idx="9">
                  <c:v>111.55810721740045</c:v>
                </c:pt>
              </c:numCache>
            </c:numRef>
          </c:val>
          <c:extLst>
            <c:ext xmlns:c16="http://schemas.microsoft.com/office/drawing/2014/chart" uri="{C3380CC4-5D6E-409C-BE32-E72D297353CC}">
              <c16:uniqueId val="{00000002-3677-4EE9-A2E7-A1F64E735485}"/>
            </c:ext>
          </c:extLst>
        </c:ser>
        <c:dLbls>
          <c:showLegendKey val="0"/>
          <c:showVal val="0"/>
          <c:showCatName val="0"/>
          <c:showSerName val="0"/>
          <c:showPercent val="0"/>
          <c:showBubbleSize val="0"/>
        </c:dLbls>
        <c:gapWidth val="150"/>
        <c:axId val="315929424"/>
        <c:axId val="315928464"/>
      </c:barChart>
      <c:lineChart>
        <c:grouping val="standard"/>
        <c:varyColors val="0"/>
        <c:ser>
          <c:idx val="0"/>
          <c:order val="0"/>
          <c:tx>
            <c:strRef>
              <c:f>'Operating Cash Flow'!$B$10</c:f>
              <c:strCache>
                <c:ptCount val="1"/>
                <c:pt idx="0">
                  <c:v>Occupancy Rate</c:v>
                </c:pt>
              </c:strCache>
            </c:strRef>
          </c:tx>
          <c:spPr>
            <a:ln w="28575" cap="rnd">
              <a:solidFill>
                <a:schemeClr val="tx2">
                  <a:lumMod val="75000"/>
                  <a:lumOff val="25000"/>
                </a:schemeClr>
              </a:solidFill>
              <a:round/>
            </a:ln>
            <a:effectLst/>
          </c:spPr>
          <c:marker>
            <c:symbol val="none"/>
          </c:marker>
          <c:cat>
            <c:numRef>
              <c:f>'Operating Cash Flow'!$C$4:$L$4</c:f>
              <c:numCache>
                <c:formatCode>"Year "General</c:formatCode>
                <c:ptCount val="10"/>
                <c:pt idx="0">
                  <c:v>1</c:v>
                </c:pt>
                <c:pt idx="1">
                  <c:v>2</c:v>
                </c:pt>
                <c:pt idx="2">
                  <c:v>3</c:v>
                </c:pt>
                <c:pt idx="3">
                  <c:v>4</c:v>
                </c:pt>
                <c:pt idx="4">
                  <c:v>5</c:v>
                </c:pt>
                <c:pt idx="5">
                  <c:v>6</c:v>
                </c:pt>
                <c:pt idx="6">
                  <c:v>7</c:v>
                </c:pt>
                <c:pt idx="7">
                  <c:v>8</c:v>
                </c:pt>
                <c:pt idx="8">
                  <c:v>9</c:v>
                </c:pt>
                <c:pt idx="9">
                  <c:v>10</c:v>
                </c:pt>
              </c:numCache>
            </c:numRef>
          </c:cat>
          <c:val>
            <c:numRef>
              <c:f>'Operating Cash Flow'!$C$10:$L$10</c:f>
              <c:numCache>
                <c:formatCode>0%</c:formatCode>
                <c:ptCount val="10"/>
                <c:pt idx="0">
                  <c:v>0.5</c:v>
                </c:pt>
                <c:pt idx="1">
                  <c:v>0.75</c:v>
                </c:pt>
                <c:pt idx="2">
                  <c:v>0.8</c:v>
                </c:pt>
                <c:pt idx="3">
                  <c:v>0.85</c:v>
                </c:pt>
                <c:pt idx="4">
                  <c:v>0.9</c:v>
                </c:pt>
                <c:pt idx="5">
                  <c:v>0.9</c:v>
                </c:pt>
                <c:pt idx="6">
                  <c:v>0.9</c:v>
                </c:pt>
                <c:pt idx="7">
                  <c:v>0.9</c:v>
                </c:pt>
                <c:pt idx="8">
                  <c:v>0.9</c:v>
                </c:pt>
                <c:pt idx="9">
                  <c:v>0.9</c:v>
                </c:pt>
              </c:numCache>
            </c:numRef>
          </c:val>
          <c:smooth val="0"/>
          <c:extLst>
            <c:ext xmlns:c16="http://schemas.microsoft.com/office/drawing/2014/chart" uri="{C3380CC4-5D6E-409C-BE32-E72D297353CC}">
              <c16:uniqueId val="{00000000-3677-4EE9-A2E7-A1F64E735485}"/>
            </c:ext>
          </c:extLst>
        </c:ser>
        <c:dLbls>
          <c:showLegendKey val="0"/>
          <c:showVal val="0"/>
          <c:showCatName val="0"/>
          <c:showSerName val="0"/>
          <c:showPercent val="0"/>
          <c:showBubbleSize val="0"/>
        </c:dLbls>
        <c:marker val="1"/>
        <c:smooth val="0"/>
        <c:axId val="932774192"/>
        <c:axId val="932777552"/>
      </c:lineChart>
      <c:catAx>
        <c:axId val="315929424"/>
        <c:scaling>
          <c:orientation val="minMax"/>
        </c:scaling>
        <c:delete val="0"/>
        <c:axPos val="b"/>
        <c:numFmt formatCode="&quot;Year &quot;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928464"/>
        <c:crosses val="autoZero"/>
        <c:auto val="1"/>
        <c:lblAlgn val="ctr"/>
        <c:lblOffset val="100"/>
        <c:noMultiLvlLbl val="0"/>
      </c:catAx>
      <c:valAx>
        <c:axId val="315928464"/>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809]* #,##0.00_-;\-[$£-809]* #,##0.00_-;_-[$£-8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929424"/>
        <c:crosses val="autoZero"/>
        <c:crossBetween val="between"/>
      </c:valAx>
      <c:valAx>
        <c:axId val="93277755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2774192"/>
        <c:crosses val="max"/>
        <c:crossBetween val="between"/>
      </c:valAx>
      <c:catAx>
        <c:axId val="932774192"/>
        <c:scaling>
          <c:orientation val="minMax"/>
        </c:scaling>
        <c:delete val="1"/>
        <c:axPos val="b"/>
        <c:numFmt formatCode="&quot;Year &quot;General" sourceLinked="1"/>
        <c:majorTickMark val="out"/>
        <c:minorTickMark val="none"/>
        <c:tickLblPos val="nextTo"/>
        <c:crossAx val="932777552"/>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Annual</a:t>
            </a:r>
            <a:r>
              <a:rPr lang="en-GB" baseline="0"/>
              <a:t> Levered Cashflow &amp; Cumulative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clustered"/>
        <c:varyColors val="0"/>
        <c:ser>
          <c:idx val="0"/>
          <c:order val="0"/>
          <c:tx>
            <c:v>Annual Levered Cashflow</c:v>
          </c:tx>
          <c:spPr>
            <a:solidFill>
              <a:schemeClr val="bg2"/>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7.3954742540534718E-2"/>
                      <c:h val="4.879210623333511E-2"/>
                    </c:manualLayout>
                  </c15:layout>
                </c:ext>
                <c:ext xmlns:c16="http://schemas.microsoft.com/office/drawing/2014/chart" uri="{C3380CC4-5D6E-409C-BE32-E72D297353CC}">
                  <c16:uniqueId val="{00000002-0C99-478C-8CF2-397C2C7B436E}"/>
                </c:ext>
              </c:extLst>
            </c:dLbl>
            <c:dLbl>
              <c:idx val="1"/>
              <c:dLblPos val="ctr"/>
              <c:showLegendKey val="0"/>
              <c:showVal val="1"/>
              <c:showCatName val="0"/>
              <c:showSerName val="0"/>
              <c:showPercent val="0"/>
              <c:showBubbleSize val="0"/>
              <c:extLst>
                <c:ext xmlns:c15="http://schemas.microsoft.com/office/drawing/2012/chart" uri="{CE6537A1-D6FC-4f65-9D91-7224C49458BB}">
                  <c15:layout>
                    <c:manualLayout>
                      <c:w val="4.6813948954893894E-2"/>
                      <c:h val="4.879210623333511E-2"/>
                    </c:manualLayout>
                  </c15:layout>
                </c:ext>
                <c:ext xmlns:c16="http://schemas.microsoft.com/office/drawing/2014/chart" uri="{C3380CC4-5D6E-409C-BE32-E72D297353CC}">
                  <c16:uniqueId val="{00000003-0C99-478C-8CF2-397C2C7B436E}"/>
                </c:ext>
              </c:extLst>
            </c:dLbl>
            <c:dLbl>
              <c:idx val="2"/>
              <c:dLblPos val="ctr"/>
              <c:showLegendKey val="0"/>
              <c:showVal val="1"/>
              <c:showCatName val="0"/>
              <c:showSerName val="0"/>
              <c:showPercent val="0"/>
              <c:showBubbleSize val="0"/>
              <c:extLst>
                <c:ext xmlns:c15="http://schemas.microsoft.com/office/drawing/2012/chart" uri="{CE6537A1-D6FC-4f65-9D91-7224C49458BB}">
                  <c15:layout>
                    <c:manualLayout>
                      <c:w val="4.6813948954893894E-2"/>
                      <c:h val="4.879210623333511E-2"/>
                    </c:manualLayout>
                  </c15:layout>
                </c:ext>
                <c:ext xmlns:c16="http://schemas.microsoft.com/office/drawing/2014/chart" uri="{C3380CC4-5D6E-409C-BE32-E72D297353CC}">
                  <c16:uniqueId val="{00000004-0C99-478C-8CF2-397C2C7B436E}"/>
                </c:ext>
              </c:extLst>
            </c:dLbl>
            <c:dLbl>
              <c:idx val="3"/>
              <c:dLblPos val="ctr"/>
              <c:showLegendKey val="0"/>
              <c:showVal val="1"/>
              <c:showCatName val="0"/>
              <c:showSerName val="0"/>
              <c:showPercent val="0"/>
              <c:showBubbleSize val="0"/>
              <c:extLst>
                <c:ext xmlns:c15="http://schemas.microsoft.com/office/drawing/2012/chart" uri="{CE6537A1-D6FC-4f65-9D91-7224C49458BB}">
                  <c15:layout>
                    <c:manualLayout>
                      <c:w val="5.9894272530351851E-2"/>
                      <c:h val="4.879210623333511E-2"/>
                    </c:manualLayout>
                  </c15:layout>
                </c:ext>
                <c:ext xmlns:c16="http://schemas.microsoft.com/office/drawing/2014/chart" uri="{C3380CC4-5D6E-409C-BE32-E72D297353CC}">
                  <c16:uniqueId val="{00000005-0C99-478C-8CF2-397C2C7B436E}"/>
                </c:ext>
              </c:extLst>
            </c:dLbl>
            <c:dLbl>
              <c:idx val="4"/>
              <c:dLblPos val="ctr"/>
              <c:showLegendKey val="0"/>
              <c:showVal val="1"/>
              <c:showCatName val="0"/>
              <c:showSerName val="0"/>
              <c:showPercent val="0"/>
              <c:showBubbleSize val="0"/>
              <c:extLst>
                <c:ext xmlns:c15="http://schemas.microsoft.com/office/drawing/2012/chart" uri="{CE6537A1-D6FC-4f65-9D91-7224C49458BB}">
                  <c15:layout>
                    <c:manualLayout>
                      <c:w val="4.6813948954893894E-2"/>
                      <c:h val="4.879210623333511E-2"/>
                    </c:manualLayout>
                  </c15:layout>
                </c:ext>
                <c:ext xmlns:c16="http://schemas.microsoft.com/office/drawing/2014/chart" uri="{C3380CC4-5D6E-409C-BE32-E72D297353CC}">
                  <c16:uniqueId val="{00000006-0C99-478C-8CF2-397C2C7B436E}"/>
                </c:ext>
              </c:extLst>
            </c:dLbl>
            <c:dLbl>
              <c:idx val="5"/>
              <c:dLblPos val="ctr"/>
              <c:showLegendKey val="0"/>
              <c:showVal val="1"/>
              <c:showCatName val="0"/>
              <c:showSerName val="0"/>
              <c:showPercent val="0"/>
              <c:showBubbleSize val="0"/>
              <c:extLst>
                <c:ext xmlns:c15="http://schemas.microsoft.com/office/drawing/2012/chart" uri="{CE6537A1-D6FC-4f65-9D91-7224C49458BB}">
                  <c15:layout>
                    <c:manualLayout>
                      <c:w val="5.9894272530351851E-2"/>
                      <c:h val="4.879210623333511E-2"/>
                    </c:manualLayout>
                  </c15:layout>
                </c:ext>
                <c:ext xmlns:c16="http://schemas.microsoft.com/office/drawing/2014/chart" uri="{C3380CC4-5D6E-409C-BE32-E72D297353CC}">
                  <c16:uniqueId val="{00000007-0C99-478C-8CF2-397C2C7B436E}"/>
                </c:ext>
              </c:extLst>
            </c:dLbl>
            <c:dLbl>
              <c:idx val="6"/>
              <c:dLblPos val="ctr"/>
              <c:showLegendKey val="0"/>
              <c:showVal val="1"/>
              <c:showCatName val="0"/>
              <c:showSerName val="0"/>
              <c:showPercent val="0"/>
              <c:showBubbleSize val="0"/>
              <c:extLst>
                <c:ext xmlns:c15="http://schemas.microsoft.com/office/drawing/2012/chart" uri="{CE6537A1-D6FC-4f65-9D91-7224C49458BB}">
                  <c15:layout>
                    <c:manualLayout>
                      <c:w val="5.9894272530351851E-2"/>
                      <c:h val="4.879210623333511E-2"/>
                    </c:manualLayout>
                  </c15:layout>
                </c:ext>
                <c:ext xmlns:c16="http://schemas.microsoft.com/office/drawing/2014/chart" uri="{C3380CC4-5D6E-409C-BE32-E72D297353CC}">
                  <c16:uniqueId val="{00000008-0C99-478C-8CF2-397C2C7B436E}"/>
                </c:ext>
              </c:extLst>
            </c:dLbl>
            <c:dLbl>
              <c:idx val="7"/>
              <c:dLblPos val="ctr"/>
              <c:showLegendKey val="0"/>
              <c:showVal val="1"/>
              <c:showCatName val="0"/>
              <c:showSerName val="0"/>
              <c:showPercent val="0"/>
              <c:showBubbleSize val="0"/>
              <c:extLst>
                <c:ext xmlns:c15="http://schemas.microsoft.com/office/drawing/2012/chart" uri="{CE6537A1-D6FC-4f65-9D91-7224C49458BB}">
                  <c15:layout>
                    <c:manualLayout>
                      <c:w val="5.9894272530351851E-2"/>
                      <c:h val="4.879210623333511E-2"/>
                    </c:manualLayout>
                  </c15:layout>
                </c:ext>
                <c:ext xmlns:c16="http://schemas.microsoft.com/office/drawing/2014/chart" uri="{C3380CC4-5D6E-409C-BE32-E72D297353CC}">
                  <c16:uniqueId val="{00000009-0C99-478C-8CF2-397C2C7B436E}"/>
                </c:ext>
              </c:extLst>
            </c:dLbl>
            <c:dLbl>
              <c:idx val="8"/>
              <c:dLblPos val="ctr"/>
              <c:showLegendKey val="0"/>
              <c:showVal val="1"/>
              <c:showCatName val="0"/>
              <c:showSerName val="0"/>
              <c:showPercent val="0"/>
              <c:showBubbleSize val="0"/>
              <c:extLst>
                <c:ext xmlns:c15="http://schemas.microsoft.com/office/drawing/2012/chart" uri="{CE6537A1-D6FC-4f65-9D91-7224C49458BB}">
                  <c15:layout>
                    <c:manualLayout>
                      <c:w val="5.9894272530351851E-2"/>
                      <c:h val="4.879210623333511E-2"/>
                    </c:manualLayout>
                  </c15:layout>
                </c:ext>
                <c:ext xmlns:c16="http://schemas.microsoft.com/office/drawing/2014/chart" uri="{C3380CC4-5D6E-409C-BE32-E72D297353CC}">
                  <c16:uniqueId val="{0000000A-0C99-478C-8CF2-397C2C7B436E}"/>
                </c:ext>
              </c:extLst>
            </c:dLbl>
            <c:dLbl>
              <c:idx val="9"/>
              <c:dLblPos val="ctr"/>
              <c:showLegendKey val="0"/>
              <c:showVal val="1"/>
              <c:showCatName val="0"/>
              <c:showSerName val="0"/>
              <c:showPercent val="0"/>
              <c:showBubbleSize val="0"/>
              <c:extLst>
                <c:ext xmlns:c15="http://schemas.microsoft.com/office/drawing/2012/chart" uri="{CE6537A1-D6FC-4f65-9D91-7224C49458BB}">
                  <c15:layout>
                    <c:manualLayout>
                      <c:w val="5.9894272530351851E-2"/>
                      <c:h val="4.879210623333511E-2"/>
                    </c:manualLayout>
                  </c15:layout>
                </c:ext>
                <c:ext xmlns:c16="http://schemas.microsoft.com/office/drawing/2014/chart" uri="{C3380CC4-5D6E-409C-BE32-E72D297353CC}">
                  <c16:uniqueId val="{0000000B-0C99-478C-8CF2-397C2C7B436E}"/>
                </c:ext>
              </c:extLst>
            </c:dLbl>
            <c:dLbl>
              <c:idx val="10"/>
              <c:dLblPos val="ctr"/>
              <c:showLegendKey val="0"/>
              <c:showVal val="1"/>
              <c:showCatName val="0"/>
              <c:showSerName val="0"/>
              <c:showPercent val="0"/>
              <c:showBubbleSize val="0"/>
              <c:extLst>
                <c:ext xmlns:c15="http://schemas.microsoft.com/office/drawing/2012/chart" uri="{CE6537A1-D6FC-4f65-9D91-7224C49458BB}">
                  <c15:layout>
                    <c:manualLayout>
                      <c:w val="6.8659288022598464E-2"/>
                      <c:h val="4.879210623333511E-2"/>
                    </c:manualLayout>
                  </c15:layout>
                </c:ext>
                <c:ext xmlns:c16="http://schemas.microsoft.com/office/drawing/2014/chart" uri="{C3380CC4-5D6E-409C-BE32-E72D297353CC}">
                  <c16:uniqueId val="{0000000C-0C99-478C-8CF2-397C2C7B436E}"/>
                </c:ext>
              </c:extLst>
            </c:dLbl>
            <c:numFmt formatCode="#,##0,&quot;K&quot;" sourceLinked="0"/>
            <c:spPr>
              <a:noFill/>
              <a:ln>
                <a:noFill/>
              </a:ln>
              <a:effectLst/>
            </c:spPr>
            <c:txPr>
              <a:bodyPr rot="0" spcFirstLastPara="1" vertOverflow="overflow" horzOverflow="overflow" vert="horz" wrap="square" lIns="38100" tIns="19050" rIns="38100" bIns="19050" anchor="ctr" anchorCtr="1">
                <a:noAutofit/>
              </a:bodyPr>
              <a:lstStyle/>
              <a:p>
                <a:pPr>
                  <a:defRPr sz="9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'Cash Flow Projection - Advanced'!$C$4:$M$4</c:f>
              <c:numCache>
                <c:formatCode>"Year "General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'Cash Flow Projection - Advanced'!$C$63:$M$63</c:f>
              <c:numCache>
                <c:formatCode>_("£"* #,##0.00_);_("£"* \(#,##0.00\);_("£"* "-"??_);_(@_)</c:formatCode>
                <c:ptCount val="11"/>
                <c:pt idx="0">
                  <c:v>-12680000</c:v>
                </c:pt>
                <c:pt idx="1">
                  <c:v>282308.02112499997</c:v>
                </c:pt>
                <c:pt idx="2">
                  <c:v>882232.44786515995</c:v>
                </c:pt>
                <c:pt idx="3">
                  <c:v>1057189.3037313328</c:v>
                </c:pt>
                <c:pt idx="4">
                  <c:v>970988.50311144395</c:v>
                </c:pt>
                <c:pt idx="5">
                  <c:v>1158339.6084105219</c:v>
                </c:pt>
                <c:pt idx="6">
                  <c:v>1227972.7430806472</c:v>
                </c:pt>
                <c:pt idx="7">
                  <c:v>1306126.8395005399</c:v>
                </c:pt>
                <c:pt idx="8">
                  <c:v>1373507.7092254036</c:v>
                </c:pt>
                <c:pt idx="9">
                  <c:v>1449534.690739892</c:v>
                </c:pt>
                <c:pt idx="10">
                  <c:v>29143306.10251262</c:v>
                </c:pt>
              </c:numCache>
            </c:numRef>
          </c:val>
          <c:extLst>
            <c:ext xmlns:c16="http://schemas.microsoft.com/office/drawing/2014/chart" uri="{C3380CC4-5D6E-409C-BE32-E72D297353CC}">
              <c16:uniqueId val="{00000000-0C99-478C-8CF2-397C2C7B436E}"/>
            </c:ext>
          </c:extLst>
        </c:ser>
        <c:ser>
          <c:idx val="1"/>
          <c:order val="1"/>
          <c:tx>
            <c:strRef>
              <c:f>'Cash Flow Projection - Advanced'!$B$72</c:f>
              <c:strCache>
                <c:ptCount val="1"/>
                <c:pt idx="0">
                  <c:v>Cumulative Cashflow</c:v>
                </c:pt>
              </c:strCache>
            </c:strRef>
          </c:tx>
          <c:spPr>
            <a:solidFill>
              <a:schemeClr val="tx2">
                <a:lumMod val="25000"/>
                <a:lumOff val="75000"/>
              </a:schemeClr>
            </a:solidFill>
            <a:ln>
              <a:noFill/>
            </a:ln>
            <a:effectLst/>
          </c:spPr>
          <c:invertIfNegative val="0"/>
          <c:dLbls>
            <c:numFmt formatCode="#,##0,&quot;K&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'Cash Flow Projection - Advanced'!$C$4:$M$4</c:f>
              <c:numCache>
                <c:formatCode>"Year "General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'Cash Flow Projection - Advanced'!$C$73:$M$73</c:f>
              <c:numCache>
                <c:formatCode>_-[$£-809]* #,##0_-;\-[$£-809]* #,##0_-;_-[$£-809]* "-"??_-;_-@_-</c:formatCode>
                <c:ptCount val="11"/>
                <c:pt idx="0">
                  <c:v>-12680000</c:v>
                </c:pt>
                <c:pt idx="1">
                  <c:v>-12397691.978875</c:v>
                </c:pt>
                <c:pt idx="2">
                  <c:v>-11515459.53100984</c:v>
                </c:pt>
                <c:pt idx="3">
                  <c:v>-10458270.227278506</c:v>
                </c:pt>
                <c:pt idx="4">
                  <c:v>-9487281.724167062</c:v>
                </c:pt>
                <c:pt idx="5">
                  <c:v>-8328942.1157565396</c:v>
                </c:pt>
                <c:pt idx="6">
                  <c:v>-7100969.372675892</c:v>
                </c:pt>
                <c:pt idx="7">
                  <c:v>-5794842.533175352</c:v>
                </c:pt>
                <c:pt idx="8">
                  <c:v>-4421334.823949948</c:v>
                </c:pt>
                <c:pt idx="9">
                  <c:v>-2971800.133210056</c:v>
                </c:pt>
                <c:pt idx="10">
                  <c:v>26171505.969302565</c:v>
                </c:pt>
              </c:numCache>
            </c:numRef>
          </c:val>
          <c:extLst>
            <c:ext xmlns:c16="http://schemas.microsoft.com/office/drawing/2014/chart" uri="{C3380CC4-5D6E-409C-BE32-E72D297353CC}">
              <c16:uniqueId val="{00000001-0C99-478C-8CF2-397C2C7B436E}"/>
            </c:ext>
          </c:extLst>
        </c:ser>
        <c:dLbls>
          <c:dLblPos val="outEnd"/>
          <c:showLegendKey val="0"/>
          <c:showVal val="1"/>
          <c:showCatName val="0"/>
          <c:showSerName val="0"/>
          <c:showPercent val="0"/>
          <c:showBubbleSize val="0"/>
        </c:dLbls>
        <c:gapWidth val="219"/>
        <c:overlap val="-27"/>
        <c:axId val="32265408"/>
        <c:axId val="32248128"/>
      </c:barChart>
      <c:catAx>
        <c:axId val="32265408"/>
        <c:scaling>
          <c:orientation val="minMax"/>
        </c:scaling>
        <c:delete val="0"/>
        <c:axPos val="b"/>
        <c:numFmt formatCode="&quot;Year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2248128"/>
        <c:crosses val="autoZero"/>
        <c:auto val="1"/>
        <c:lblAlgn val="ctr"/>
        <c:lblOffset val="100"/>
        <c:noMultiLvlLbl val="0"/>
      </c:catAx>
      <c:valAx>
        <c:axId val="32248128"/>
        <c:scaling>
          <c:orientation val="minMax"/>
        </c:scaling>
        <c:delete val="0"/>
        <c:axPos val="l"/>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65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NOI</a:t>
            </a:r>
            <a:r>
              <a:rPr lang="en-GB" baseline="0"/>
              <a:t> vs Debt Service vs DSCR</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clustered"/>
        <c:varyColors val="0"/>
        <c:ser>
          <c:idx val="0"/>
          <c:order val="0"/>
          <c:tx>
            <c:strRef>
              <c:f>'Cash Flow Projection - Advanced'!$B$49</c:f>
              <c:strCache>
                <c:ptCount val="1"/>
                <c:pt idx="0">
                  <c:v>NOI</c:v>
                </c:pt>
              </c:strCache>
            </c:strRef>
          </c:tx>
          <c:spPr>
            <a:solidFill>
              <a:schemeClr val="bg2"/>
            </a:solidFill>
            <a:ln>
              <a:noFill/>
            </a:ln>
            <a:effectLst/>
          </c:spPr>
          <c:invertIfNegative val="0"/>
          <c:cat>
            <c:numRef>
              <c:extLst>
                <c:ext xmlns:c15="http://schemas.microsoft.com/office/drawing/2012/chart" uri="{02D57815-91ED-43cb-92C2-25804820EDAC}">
                  <c15:fullRef>
                    <c15:sqref>'Cash Flow Projection - Advanced'!$C$4:$M$4</c15:sqref>
                  </c15:fullRef>
                </c:ext>
              </c:extLst>
              <c:f>'Cash Flow Projection - Advanced'!$D$4:$M$4</c:f>
              <c:numCache>
                <c:formatCode>"Year "General</c:formatCode>
                <c:ptCount val="10"/>
                <c:pt idx="0">
                  <c:v>1</c:v>
                </c:pt>
                <c:pt idx="1">
                  <c:v>2</c:v>
                </c:pt>
                <c:pt idx="2">
                  <c:v>3</c:v>
                </c:pt>
                <c:pt idx="3">
                  <c:v>4</c:v>
                </c:pt>
                <c:pt idx="4">
                  <c:v>5</c:v>
                </c:pt>
                <c:pt idx="5">
                  <c:v>6</c:v>
                </c:pt>
                <c:pt idx="6">
                  <c:v>7</c:v>
                </c:pt>
                <c:pt idx="7">
                  <c:v>8</c:v>
                </c:pt>
                <c:pt idx="8">
                  <c:v>9</c:v>
                </c:pt>
                <c:pt idx="9">
                  <c:v>10</c:v>
                </c:pt>
              </c:numCache>
            </c:numRef>
          </c:cat>
          <c:val>
            <c:numRef>
              <c:extLst>
                <c:ext xmlns:c15="http://schemas.microsoft.com/office/drawing/2012/chart" uri="{02D57815-91ED-43cb-92C2-25804820EDAC}">
                  <c15:fullRef>
                    <c15:sqref>'Cash Flow Projection - Advanced'!$C$49:$M$49</c15:sqref>
                  </c15:fullRef>
                </c:ext>
              </c:extLst>
              <c:f>'Cash Flow Projection - Advanced'!$D$49:$M$49</c:f>
              <c:numCache>
                <c:formatCode>_("£"* #,##0.00_);_("£"* \(#,##0.00\);_("£"* "-"??_);_(@_)</c:formatCode>
                <c:ptCount val="10"/>
                <c:pt idx="0">
                  <c:v>1182308.021125</c:v>
                </c:pt>
                <c:pt idx="1">
                  <c:v>1782232.4478651599</c:v>
                </c:pt>
                <c:pt idx="2">
                  <c:v>1957189.3037313328</c:v>
                </c:pt>
                <c:pt idx="3">
                  <c:v>2130523.2088176645</c:v>
                </c:pt>
                <c:pt idx="4">
                  <c:v>2317874.3141167425</c:v>
                </c:pt>
                <c:pt idx="5">
                  <c:v>2387507.4487868678</c:v>
                </c:pt>
                <c:pt idx="6">
                  <c:v>2465661.5452067605</c:v>
                </c:pt>
                <c:pt idx="7">
                  <c:v>2533042.4149316242</c:v>
                </c:pt>
                <c:pt idx="8">
                  <c:v>2609069.3964461125</c:v>
                </c:pt>
                <c:pt idx="9">
                  <c:v>2687355.9339283872</c:v>
                </c:pt>
              </c:numCache>
            </c:numRef>
          </c:val>
          <c:extLst>
            <c:ext xmlns:c16="http://schemas.microsoft.com/office/drawing/2014/chart" uri="{C3380CC4-5D6E-409C-BE32-E72D297353CC}">
              <c16:uniqueId val="{00000002-317A-4EEC-B131-5A129737B0DA}"/>
            </c:ext>
          </c:extLst>
        </c:ser>
        <c:ser>
          <c:idx val="1"/>
          <c:order val="1"/>
          <c:tx>
            <c:strRef>
              <c:f>'Cash Flow Projection - Advanced'!$B$58</c:f>
              <c:strCache>
                <c:ptCount val="1"/>
                <c:pt idx="0">
                  <c:v>Debt Service</c:v>
                </c:pt>
              </c:strCache>
            </c:strRef>
          </c:tx>
          <c:spPr>
            <a:solidFill>
              <a:schemeClr val="tx2">
                <a:lumMod val="25000"/>
                <a:lumOff val="75000"/>
              </a:schemeClr>
            </a:solidFill>
            <a:ln>
              <a:noFill/>
            </a:ln>
            <a:effectLst/>
          </c:spPr>
          <c:invertIfNegative val="0"/>
          <c:cat>
            <c:numRef>
              <c:extLst>
                <c:ext xmlns:c15="http://schemas.microsoft.com/office/drawing/2012/chart" uri="{02D57815-91ED-43cb-92C2-25804820EDAC}">
                  <c15:fullRef>
                    <c15:sqref>'Cash Flow Projection - Advanced'!$C$4:$M$4</c15:sqref>
                  </c15:fullRef>
                </c:ext>
              </c:extLst>
              <c:f>'Cash Flow Projection - Advanced'!$D$4:$M$4</c:f>
              <c:numCache>
                <c:formatCode>"Year "General</c:formatCode>
                <c:ptCount val="10"/>
                <c:pt idx="0">
                  <c:v>1</c:v>
                </c:pt>
                <c:pt idx="1">
                  <c:v>2</c:v>
                </c:pt>
                <c:pt idx="2">
                  <c:v>3</c:v>
                </c:pt>
                <c:pt idx="3">
                  <c:v>4</c:v>
                </c:pt>
                <c:pt idx="4">
                  <c:v>5</c:v>
                </c:pt>
                <c:pt idx="5">
                  <c:v>6</c:v>
                </c:pt>
                <c:pt idx="6">
                  <c:v>7</c:v>
                </c:pt>
                <c:pt idx="7">
                  <c:v>8</c:v>
                </c:pt>
                <c:pt idx="8">
                  <c:v>9</c:v>
                </c:pt>
                <c:pt idx="9">
                  <c:v>10</c:v>
                </c:pt>
              </c:numCache>
            </c:numRef>
          </c:cat>
          <c:val>
            <c:numRef>
              <c:extLst>
                <c:ext xmlns:c15="http://schemas.microsoft.com/office/drawing/2012/chart" uri="{02D57815-91ED-43cb-92C2-25804820EDAC}">
                  <c15:fullRef>
                    <c15:sqref>'Cash Flow Projection - Advanced'!$C$58:$M$58</c15:sqref>
                  </c15:fullRef>
                </c:ext>
              </c:extLst>
              <c:f>'Cash Flow Projection - Advanced'!$D$58:$M$58</c:f>
              <c:numCache>
                <c:formatCode>_("£"* #,##0.00_);_("£"* \(#,##0.00\);_("£"* "-"??_);_(@_)</c:formatCode>
                <c:ptCount val="10"/>
                <c:pt idx="0">
                  <c:v>900000</c:v>
                </c:pt>
                <c:pt idx="1">
                  <c:v>900000</c:v>
                </c:pt>
                <c:pt idx="2">
                  <c:v>900000</c:v>
                </c:pt>
                <c:pt idx="3">
                  <c:v>1159534.7057062206</c:v>
                </c:pt>
                <c:pt idx="4">
                  <c:v>1159534.7057062206</c:v>
                </c:pt>
                <c:pt idx="5">
                  <c:v>1159534.7057062206</c:v>
                </c:pt>
                <c:pt idx="6">
                  <c:v>1159534.7057062206</c:v>
                </c:pt>
                <c:pt idx="7">
                  <c:v>1159534.7057062206</c:v>
                </c:pt>
                <c:pt idx="8">
                  <c:v>1159534.7057062206</c:v>
                </c:pt>
                <c:pt idx="9">
                  <c:v>1159534.7057062206</c:v>
                </c:pt>
              </c:numCache>
            </c:numRef>
          </c:val>
          <c:extLst>
            <c:ext xmlns:c16="http://schemas.microsoft.com/office/drawing/2014/chart" uri="{C3380CC4-5D6E-409C-BE32-E72D297353CC}">
              <c16:uniqueId val="{00000003-317A-4EEC-B131-5A129737B0DA}"/>
            </c:ext>
          </c:extLst>
        </c:ser>
        <c:dLbls>
          <c:showLegendKey val="0"/>
          <c:showVal val="0"/>
          <c:showCatName val="0"/>
          <c:showSerName val="0"/>
          <c:showPercent val="0"/>
          <c:showBubbleSize val="0"/>
        </c:dLbls>
        <c:gapWidth val="150"/>
        <c:axId val="1041528720"/>
        <c:axId val="1041527280"/>
      </c:barChart>
      <c:lineChart>
        <c:grouping val="standard"/>
        <c:varyColors val="0"/>
        <c:ser>
          <c:idx val="2"/>
          <c:order val="2"/>
          <c:tx>
            <c:strRef>
              <c:f>'Cash Flow Projection - Advanced'!$B$70</c:f>
              <c:strCache>
                <c:ptCount val="1"/>
                <c:pt idx="0">
                  <c:v>DSCR</c:v>
                </c:pt>
              </c:strCache>
            </c:strRef>
          </c:tx>
          <c:spPr>
            <a:ln w="28575" cap="rnd">
              <a:solidFill>
                <a:schemeClr val="tx2"/>
              </a:solidFill>
              <a:round/>
            </a:ln>
            <a:effectLst/>
          </c:spPr>
          <c:marker>
            <c:symbol val="none"/>
          </c:marker>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'Cash Flow Projection - Advanced'!$C$70:$M$70</c15:sqref>
                  </c15:fullRef>
                </c:ext>
              </c:extLst>
              <c:f>'Cash Flow Projection - Advanced'!$D$70:$M$70</c:f>
              <c:numCache>
                <c:formatCode>0.00</c:formatCode>
                <c:ptCount val="10"/>
                <c:pt idx="0">
                  <c:v>1.3136755790277777</c:v>
                </c:pt>
                <c:pt idx="1">
                  <c:v>1.9802582754057332</c:v>
                </c:pt>
                <c:pt idx="2">
                  <c:v>2.174654781923703</c:v>
                </c:pt>
                <c:pt idx="3">
                  <c:v>1.8373949467256854</c:v>
                </c:pt>
                <c:pt idx="4">
                  <c:v>1.9989693302927307</c:v>
                </c:pt>
                <c:pt idx="5">
                  <c:v>2.0590219827294813</c:v>
                </c:pt>
                <c:pt idx="6">
                  <c:v>2.1264232394881502</c:v>
                </c:pt>
                <c:pt idx="7">
                  <c:v>2.1845335050914767</c:v>
                </c:pt>
                <c:pt idx="8">
                  <c:v>2.2501003062750464</c:v>
                </c:pt>
                <c:pt idx="9">
                  <c:v>2.3176157821784553</c:v>
                </c:pt>
              </c:numCache>
            </c:numRef>
          </c:val>
          <c:smooth val="0"/>
          <c:extLst>
            <c:ext xmlns:c16="http://schemas.microsoft.com/office/drawing/2014/chart" uri="{C3380CC4-5D6E-409C-BE32-E72D297353CC}">
              <c16:uniqueId val="{00000004-317A-4EEC-B131-5A129737B0DA}"/>
            </c:ext>
          </c:extLst>
        </c:ser>
        <c:dLbls>
          <c:showLegendKey val="0"/>
          <c:showVal val="0"/>
          <c:showCatName val="0"/>
          <c:showSerName val="0"/>
          <c:showPercent val="0"/>
          <c:showBubbleSize val="0"/>
        </c:dLbls>
        <c:marker val="1"/>
        <c:smooth val="0"/>
        <c:axId val="918879504"/>
        <c:axId val="918879984"/>
      </c:lineChart>
      <c:catAx>
        <c:axId val="1041528720"/>
        <c:scaling>
          <c:orientation val="minMax"/>
        </c:scaling>
        <c:delete val="0"/>
        <c:axPos val="b"/>
        <c:numFmt formatCode="&quot;Year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527280"/>
        <c:crosses val="autoZero"/>
        <c:auto val="1"/>
        <c:lblAlgn val="ctr"/>
        <c:lblOffset val="100"/>
        <c:noMultiLvlLbl val="0"/>
      </c:catAx>
      <c:valAx>
        <c:axId val="1041527280"/>
        <c:scaling>
          <c:orientation val="minMax"/>
        </c:scaling>
        <c:delete val="0"/>
        <c:axPos val="l"/>
        <c:majorGridlines>
          <c:spPr>
            <a:ln w="9525" cap="flat" cmpd="sng" algn="ctr">
              <a:solidFill>
                <a:schemeClr val="tx1">
                  <a:lumMod val="15000"/>
                  <a:lumOff val="85000"/>
                </a:schemeClr>
              </a:solidFill>
              <a:round/>
            </a:ln>
            <a:effectLst/>
          </c:spPr>
        </c:majorGridlines>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528720"/>
        <c:crosses val="autoZero"/>
        <c:crossBetween val="between"/>
      </c:valAx>
      <c:valAx>
        <c:axId val="918879984"/>
        <c:scaling>
          <c:orientation val="minMax"/>
        </c:scaling>
        <c:delete val="0"/>
        <c:axPos val="r"/>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879504"/>
        <c:crosses val="max"/>
        <c:crossBetween val="between"/>
      </c:valAx>
      <c:catAx>
        <c:axId val="918879504"/>
        <c:scaling>
          <c:orientation val="minMax"/>
        </c:scaling>
        <c:delete val="1"/>
        <c:axPos val="b"/>
        <c:majorTickMark val="out"/>
        <c:minorTickMark val="none"/>
        <c:tickLblPos val="nextTo"/>
        <c:crossAx val="9188799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EBITDA by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'Cash Flow Projection - Advanced'!$B$45</c:f>
              <c:strCache>
                <c:ptCount val="1"/>
                <c:pt idx="0">
                  <c:v>EBITDA</c:v>
                </c:pt>
              </c:strCache>
            </c:strRef>
          </c:tx>
          <c:spPr>
            <a:solidFill>
              <a:schemeClr val="bg2"/>
            </a:solidFill>
            <a:ln>
              <a:noFill/>
            </a:ln>
            <a:effectLst/>
          </c:spPr>
          <c:invertIfNegative val="0"/>
          <c:cat>
            <c:numRef>
              <c:extLst>
                <c:ext xmlns:c15="http://schemas.microsoft.com/office/drawing/2012/chart" uri="{02D57815-91ED-43cb-92C2-25804820EDAC}">
                  <c15:fullRef>
                    <c15:sqref>'Cash Flow Projection - Advanced'!$C$4:$M$4</c15:sqref>
                  </c15:fullRef>
                </c:ext>
              </c:extLst>
              <c:f>'Cash Flow Projection - Advanced'!$D$4:$M$4</c:f>
              <c:numCache>
                <c:formatCode>"Year "General</c:formatCode>
                <c:ptCount val="10"/>
                <c:pt idx="0">
                  <c:v>1</c:v>
                </c:pt>
                <c:pt idx="1">
                  <c:v>2</c:v>
                </c:pt>
                <c:pt idx="2">
                  <c:v>3</c:v>
                </c:pt>
                <c:pt idx="3">
                  <c:v>4</c:v>
                </c:pt>
                <c:pt idx="4">
                  <c:v>5</c:v>
                </c:pt>
                <c:pt idx="5">
                  <c:v>6</c:v>
                </c:pt>
                <c:pt idx="6">
                  <c:v>7</c:v>
                </c:pt>
                <c:pt idx="7">
                  <c:v>8</c:v>
                </c:pt>
                <c:pt idx="8">
                  <c:v>9</c:v>
                </c:pt>
                <c:pt idx="9">
                  <c:v>10</c:v>
                </c:pt>
              </c:numCache>
            </c:numRef>
          </c:cat>
          <c:val>
            <c:numRef>
              <c:extLst>
                <c:ext xmlns:c15="http://schemas.microsoft.com/office/drawing/2012/chart" uri="{02D57815-91ED-43cb-92C2-25804820EDAC}">
                  <c15:fullRef>
                    <c15:sqref>'Cash Flow Projection - Advanced'!$C$45:$M$45</c15:sqref>
                  </c15:fullRef>
                </c:ext>
              </c:extLst>
              <c:f>'Cash Flow Projection - Advanced'!$D$45:$M$45</c:f>
              <c:numCache>
                <c:formatCode>_("£"* #,##0.00_);_("£"* \(#,##0.00\);_("£"* "-"??_);_(@_)</c:formatCode>
                <c:ptCount val="10"/>
                <c:pt idx="0">
                  <c:v>1625915.6125</c:v>
                </c:pt>
                <c:pt idx="1">
                  <c:v>2417809.3086359999</c:v>
                </c:pt>
                <c:pt idx="2">
                  <c:v>2648782.888157201</c:v>
                </c:pt>
                <c:pt idx="3">
                  <c:v>2877617.0818736497</c:v>
                </c:pt>
                <c:pt idx="4">
                  <c:v>3124953.9793693726</c:v>
                </c:pt>
                <c:pt idx="5">
                  <c:v>3216915.6448692349</c:v>
                </c:pt>
                <c:pt idx="6">
                  <c:v>3320126.4364118748</c:v>
                </c:pt>
                <c:pt idx="7">
                  <c:v>3409119.7382927248</c:v>
                </c:pt>
                <c:pt idx="8">
                  <c:v>3509527.5150149399</c:v>
                </c:pt>
                <c:pt idx="9">
                  <c:v>3612920.1384369256</c:v>
                </c:pt>
              </c:numCache>
            </c:numRef>
          </c:val>
          <c:extLst>
            <c:ext xmlns:c16="http://schemas.microsoft.com/office/drawing/2014/chart" uri="{C3380CC4-5D6E-409C-BE32-E72D297353CC}">
              <c16:uniqueId val="{00000000-DC1D-44DB-BDFE-44DF2A5A8C6C}"/>
            </c:ext>
          </c:extLst>
        </c:ser>
        <c:dLbls>
          <c:showLegendKey val="0"/>
          <c:showVal val="0"/>
          <c:showCatName val="0"/>
          <c:showSerName val="0"/>
          <c:showPercent val="0"/>
          <c:showBubbleSize val="0"/>
        </c:dLbls>
        <c:gapWidth val="219"/>
        <c:overlap val="-27"/>
        <c:axId val="921772768"/>
        <c:axId val="921775648"/>
      </c:barChart>
      <c:catAx>
        <c:axId val="921772768"/>
        <c:scaling>
          <c:orientation val="minMax"/>
        </c:scaling>
        <c:delete val="0"/>
        <c:axPos val="b"/>
        <c:numFmt formatCode="&quot;Year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1775648"/>
        <c:crosses val="autoZero"/>
        <c:auto val="1"/>
        <c:lblAlgn val="ctr"/>
        <c:lblOffset val="100"/>
        <c:noMultiLvlLbl val="0"/>
      </c:catAx>
      <c:valAx>
        <c:axId val="921775648"/>
        <c:scaling>
          <c:orientation val="minMax"/>
        </c:scaling>
        <c:delete val="0"/>
        <c:axPos val="l"/>
        <c:majorGridlines>
          <c:spPr>
            <a:ln w="9525" cap="flat" cmpd="sng" algn="ctr">
              <a:solidFill>
                <a:schemeClr val="tx1">
                  <a:lumMod val="15000"/>
                  <a:lumOff val="85000"/>
                </a:schemeClr>
              </a:solidFill>
              <a:round/>
            </a:ln>
            <a:effectLst/>
          </c:spPr>
        </c:majorGridlines>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1772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530225</xdr:colOff>
      <xdr:row>1</xdr:row>
      <xdr:rowOff>65085</xdr:rowOff>
    </xdr:from>
    <xdr:to>
      <xdr:col>24</xdr:col>
      <xdr:colOff>282575</xdr:colOff>
      <xdr:row>25</xdr:row>
      <xdr:rowOff>98424</xdr:rowOff>
    </xdr:to>
    <xdr:graphicFrame macro="">
      <xdr:nvGraphicFramePr>
        <xdr:cNvPr id="2" name="Chart 1">
          <a:extLst>
            <a:ext uri="{FF2B5EF4-FFF2-40B4-BE49-F238E27FC236}">
              <a16:creationId xmlns:a16="http://schemas.microsoft.com/office/drawing/2014/main" id="{3A80015A-1709-F54A-947B-599997962A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1</xdr:row>
      <xdr:rowOff>66675</xdr:rowOff>
    </xdr:from>
    <xdr:to>
      <xdr:col>10</xdr:col>
      <xdr:colOff>473075</xdr:colOff>
      <xdr:row>25</xdr:row>
      <xdr:rowOff>104776</xdr:rowOff>
    </xdr:to>
    <xdr:graphicFrame macro="">
      <xdr:nvGraphicFramePr>
        <xdr:cNvPr id="3" name="Chart 2">
          <a:extLst>
            <a:ext uri="{FF2B5EF4-FFF2-40B4-BE49-F238E27FC236}">
              <a16:creationId xmlns:a16="http://schemas.microsoft.com/office/drawing/2014/main" id="{33CFBB33-6BAA-6293-387E-3ACDAF1DAA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161923</xdr:colOff>
      <xdr:row>26</xdr:row>
      <xdr:rowOff>74612</xdr:rowOff>
    </xdr:from>
    <xdr:to>
      <xdr:col>24</xdr:col>
      <xdr:colOff>276224</xdr:colOff>
      <xdr:row>46</xdr:row>
      <xdr:rowOff>95250</xdr:rowOff>
    </xdr:to>
    <xdr:graphicFrame macro="">
      <xdr:nvGraphicFramePr>
        <xdr:cNvPr id="4" name="Chart 3">
          <a:extLst>
            <a:ext uri="{FF2B5EF4-FFF2-40B4-BE49-F238E27FC236}">
              <a16:creationId xmlns:a16="http://schemas.microsoft.com/office/drawing/2014/main" id="{88A7D6BC-41FF-2C3F-C6E6-D4042E859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47</xdr:row>
      <xdr:rowOff>74611</xdr:rowOff>
    </xdr:from>
    <xdr:to>
      <xdr:col>12</xdr:col>
      <xdr:colOff>285750</xdr:colOff>
      <xdr:row>70</xdr:row>
      <xdr:rowOff>28575</xdr:rowOff>
    </xdr:to>
    <xdr:graphicFrame macro="">
      <xdr:nvGraphicFramePr>
        <xdr:cNvPr id="5" name="Chart 4">
          <a:extLst>
            <a:ext uri="{FF2B5EF4-FFF2-40B4-BE49-F238E27FC236}">
              <a16:creationId xmlns:a16="http://schemas.microsoft.com/office/drawing/2014/main" id="{6100F6B8-97BA-3735-F02A-E05C7497DC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482600</xdr:colOff>
      <xdr:row>47</xdr:row>
      <xdr:rowOff>77786</xdr:rowOff>
    </xdr:from>
    <xdr:to>
      <xdr:col>24</xdr:col>
      <xdr:colOff>323850</xdr:colOff>
      <xdr:row>70</xdr:row>
      <xdr:rowOff>9524</xdr:rowOff>
    </xdr:to>
    <xdr:graphicFrame macro="">
      <xdr:nvGraphicFramePr>
        <xdr:cNvPr id="6" name="Chart 5">
          <a:extLst>
            <a:ext uri="{FF2B5EF4-FFF2-40B4-BE49-F238E27FC236}">
              <a16:creationId xmlns:a16="http://schemas.microsoft.com/office/drawing/2014/main" id="{7AB080FD-B5CD-1D6C-ECAA-862D7F238A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XpertHost">
      <a:dk1>
        <a:sysClr val="windowText" lastClr="000000"/>
      </a:dk1>
      <a:lt1>
        <a:sysClr val="window" lastClr="FFFFFF"/>
      </a:lt1>
      <a:dk2>
        <a:srgbClr val="2B0E3C"/>
      </a:dk2>
      <a:lt2>
        <a:srgbClr val="CCBFA3"/>
      </a:lt2>
      <a:accent1>
        <a:srgbClr val="5D5D5D"/>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0CD65-C4D8-4D51-AA0C-6FB48C828659}">
  <dimension ref="B1:I36"/>
  <sheetViews>
    <sheetView tabSelected="1" zoomScale="90" zoomScaleNormal="90" workbookViewId="0">
      <selection activeCell="H50" sqref="H50"/>
    </sheetView>
  </sheetViews>
  <sheetFormatPr defaultRowHeight="15.5" x14ac:dyDescent="0.35"/>
  <cols>
    <col min="1" max="1" width="1.7265625" style="362" customWidth="1"/>
    <col min="2" max="2" width="1.6328125" style="362" customWidth="1"/>
    <col min="3" max="3" width="20.54296875" style="370" bestFit="1" customWidth="1"/>
    <col min="4" max="4" width="112.90625" style="362" customWidth="1"/>
    <col min="5" max="5" width="18.1796875" style="362" customWidth="1"/>
    <col min="6" max="6" width="1.7265625" style="362" customWidth="1"/>
    <col min="7" max="7" width="8.7265625" style="362"/>
    <col min="8" max="8" width="114.81640625" style="362" customWidth="1"/>
    <col min="9" max="9" width="14" style="362" bestFit="1" customWidth="1"/>
    <col min="10" max="16384" width="8.7265625" style="362"/>
  </cols>
  <sheetData>
    <row r="1" spans="2:9" ht="9.5" customHeight="1" thickBot="1" x14ac:dyDescent="0.4">
      <c r="C1" s="363"/>
      <c r="D1" s="364"/>
    </row>
    <row r="2" spans="2:9" ht="4.5" customHeight="1" x14ac:dyDescent="0.35">
      <c r="B2" s="365"/>
      <c r="C2" s="366"/>
      <c r="D2" s="367"/>
      <c r="E2" s="367"/>
      <c r="F2" s="368"/>
    </row>
    <row r="3" spans="2:9" ht="37.5" x14ac:dyDescent="0.35">
      <c r="B3" s="369"/>
      <c r="D3" s="371" t="s">
        <v>238</v>
      </c>
      <c r="F3" s="372"/>
    </row>
    <row r="4" spans="2:9" x14ac:dyDescent="0.35">
      <c r="B4" s="369"/>
      <c r="D4" s="373" t="s">
        <v>239</v>
      </c>
      <c r="F4" s="372"/>
    </row>
    <row r="5" spans="2:9" x14ac:dyDescent="0.35">
      <c r="B5" s="369"/>
      <c r="D5" s="374" t="s">
        <v>240</v>
      </c>
      <c r="F5" s="372"/>
    </row>
    <row r="6" spans="2:9" ht="4.5" customHeight="1" x14ac:dyDescent="0.35">
      <c r="B6" s="369"/>
      <c r="F6" s="372"/>
    </row>
    <row r="7" spans="2:9" s="380" customFormat="1" ht="14" x14ac:dyDescent="0.35">
      <c r="B7" s="375"/>
      <c r="C7" s="376" t="s">
        <v>241</v>
      </c>
      <c r="D7" s="377"/>
      <c r="E7" s="378"/>
      <c r="F7" s="379"/>
    </row>
    <row r="8" spans="2:9" s="380" customFormat="1" ht="14" x14ac:dyDescent="0.35">
      <c r="B8" s="375"/>
      <c r="C8" s="381"/>
      <c r="D8" s="382" t="s">
        <v>262</v>
      </c>
      <c r="E8" s="383"/>
      <c r="F8" s="379"/>
    </row>
    <row r="9" spans="2:9" s="380" customFormat="1" ht="14" x14ac:dyDescent="0.35">
      <c r="B9" s="375"/>
      <c r="C9" s="384"/>
      <c r="F9" s="379"/>
    </row>
    <row r="10" spans="2:9" s="380" customFormat="1" ht="14" x14ac:dyDescent="0.35">
      <c r="B10" s="375"/>
      <c r="C10" s="376" t="s">
        <v>242</v>
      </c>
      <c r="D10" s="377"/>
      <c r="E10" s="378"/>
      <c r="F10" s="379"/>
      <c r="I10" s="385"/>
    </row>
    <row r="11" spans="2:9" s="380" customFormat="1" ht="14" x14ac:dyDescent="0.35">
      <c r="B11" s="375"/>
      <c r="C11" s="386">
        <v>45621</v>
      </c>
      <c r="D11" s="491" t="s">
        <v>332</v>
      </c>
      <c r="E11" s="383"/>
      <c r="F11" s="379"/>
    </row>
    <row r="12" spans="2:9" s="380" customFormat="1" ht="14" x14ac:dyDescent="0.35">
      <c r="B12" s="375"/>
      <c r="C12" s="384"/>
      <c r="F12" s="379"/>
    </row>
    <row r="13" spans="2:9" s="380" customFormat="1" ht="14" x14ac:dyDescent="0.35">
      <c r="B13" s="375"/>
      <c r="C13" s="376" t="s">
        <v>243</v>
      </c>
      <c r="D13" s="387"/>
      <c r="E13" s="388"/>
      <c r="F13" s="379"/>
    </row>
    <row r="14" spans="2:9" s="380" customFormat="1" ht="14.5" x14ac:dyDescent="0.35">
      <c r="B14" s="375"/>
      <c r="C14" s="389"/>
      <c r="D14" s="408" t="s">
        <v>244</v>
      </c>
      <c r="E14" s="390" t="s">
        <v>245</v>
      </c>
      <c r="F14" s="379"/>
    </row>
    <row r="15" spans="2:9" s="380" customFormat="1" ht="14.5" x14ac:dyDescent="0.35">
      <c r="B15" s="375"/>
      <c r="C15" s="389"/>
      <c r="D15" s="408" t="s">
        <v>334</v>
      </c>
      <c r="E15" s="390" t="s">
        <v>245</v>
      </c>
      <c r="F15" s="379"/>
    </row>
    <row r="16" spans="2:9" s="380" customFormat="1" ht="14.5" x14ac:dyDescent="0.35">
      <c r="B16" s="375"/>
      <c r="C16" s="389"/>
      <c r="D16" s="408" t="s">
        <v>259</v>
      </c>
      <c r="E16" s="390" t="s">
        <v>245</v>
      </c>
      <c r="F16" s="379"/>
    </row>
    <row r="17" spans="2:6" s="380" customFormat="1" ht="14.5" x14ac:dyDescent="0.35">
      <c r="B17" s="375"/>
      <c r="C17" s="389"/>
      <c r="D17" s="408" t="s">
        <v>260</v>
      </c>
      <c r="E17" s="390" t="s">
        <v>245</v>
      </c>
      <c r="F17" s="379"/>
    </row>
    <row r="18" spans="2:6" s="380" customFormat="1" ht="14.5" x14ac:dyDescent="0.35">
      <c r="B18" s="375"/>
      <c r="C18" s="389"/>
      <c r="D18" s="408" t="s">
        <v>79</v>
      </c>
      <c r="E18" s="390" t="s">
        <v>245</v>
      </c>
      <c r="F18" s="379"/>
    </row>
    <row r="19" spans="2:6" s="380" customFormat="1" ht="14.5" x14ac:dyDescent="0.35">
      <c r="B19" s="375"/>
      <c r="C19" s="389"/>
      <c r="D19" s="408" t="s">
        <v>261</v>
      </c>
      <c r="E19" s="390" t="s">
        <v>245</v>
      </c>
      <c r="F19" s="379"/>
    </row>
    <row r="20" spans="2:6" s="380" customFormat="1" ht="14.5" x14ac:dyDescent="0.35">
      <c r="B20" s="375"/>
      <c r="C20" s="389"/>
      <c r="D20" s="408" t="s">
        <v>246</v>
      </c>
      <c r="E20" s="390" t="s">
        <v>245</v>
      </c>
      <c r="F20" s="379"/>
    </row>
    <row r="21" spans="2:6" s="380" customFormat="1" ht="14.5" x14ac:dyDescent="0.35">
      <c r="B21" s="375"/>
      <c r="C21" s="389"/>
      <c r="D21" s="408" t="s">
        <v>331</v>
      </c>
      <c r="E21" s="390" t="s">
        <v>245</v>
      </c>
      <c r="F21" s="379"/>
    </row>
    <row r="22" spans="2:6" s="380" customFormat="1" ht="14.5" x14ac:dyDescent="0.35">
      <c r="B22" s="375"/>
      <c r="C22" s="389"/>
      <c r="D22" s="408" t="s">
        <v>295</v>
      </c>
      <c r="E22" s="390" t="s">
        <v>247</v>
      </c>
      <c r="F22" s="379"/>
    </row>
    <row r="23" spans="2:6" s="380" customFormat="1" ht="14.5" x14ac:dyDescent="0.35">
      <c r="B23" s="375"/>
      <c r="C23" s="391"/>
      <c r="D23" s="485" t="s">
        <v>248</v>
      </c>
      <c r="E23" s="392" t="s">
        <v>247</v>
      </c>
      <c r="F23" s="379"/>
    </row>
    <row r="24" spans="2:6" s="380" customFormat="1" ht="14" x14ac:dyDescent="0.35">
      <c r="B24" s="375"/>
      <c r="C24" s="384"/>
      <c r="F24" s="379"/>
    </row>
    <row r="25" spans="2:6" s="380" customFormat="1" ht="14" x14ac:dyDescent="0.35">
      <c r="B25" s="375"/>
      <c r="C25" s="376" t="s">
        <v>249</v>
      </c>
      <c r="D25" s="393"/>
      <c r="E25" s="394"/>
      <c r="F25" s="379"/>
    </row>
    <row r="26" spans="2:6" s="380" customFormat="1" ht="14" x14ac:dyDescent="0.35">
      <c r="B26" s="375"/>
      <c r="C26" s="395" t="s">
        <v>250</v>
      </c>
      <c r="D26" s="396" t="s">
        <v>251</v>
      </c>
      <c r="E26" s="397"/>
      <c r="F26" s="379"/>
    </row>
    <row r="27" spans="2:6" s="380" customFormat="1" ht="14" x14ac:dyDescent="0.3">
      <c r="B27" s="375"/>
      <c r="C27" s="395" t="s">
        <v>252</v>
      </c>
      <c r="D27" s="398" t="s">
        <v>253</v>
      </c>
      <c r="E27" s="397"/>
      <c r="F27" s="379"/>
    </row>
    <row r="28" spans="2:6" s="380" customFormat="1" ht="14" x14ac:dyDescent="0.35">
      <c r="B28" s="375"/>
      <c r="C28" s="399" t="s">
        <v>254</v>
      </c>
      <c r="D28" s="382" t="s">
        <v>255</v>
      </c>
      <c r="E28" s="383"/>
      <c r="F28" s="379"/>
    </row>
    <row r="29" spans="2:6" s="380" customFormat="1" ht="14" x14ac:dyDescent="0.35">
      <c r="B29" s="375"/>
      <c r="C29" s="400"/>
      <c r="F29" s="379"/>
    </row>
    <row r="30" spans="2:6" s="380" customFormat="1" ht="14" x14ac:dyDescent="0.35">
      <c r="B30" s="375"/>
      <c r="C30" s="376" t="s">
        <v>256</v>
      </c>
      <c r="D30" s="387"/>
      <c r="E30" s="388"/>
      <c r="F30" s="379"/>
    </row>
    <row r="31" spans="2:6" s="380" customFormat="1" ht="105.5" customHeight="1" x14ac:dyDescent="0.35">
      <c r="B31" s="375"/>
      <c r="C31" s="520" t="s">
        <v>257</v>
      </c>
      <c r="D31" s="521"/>
      <c r="E31" s="522"/>
      <c r="F31" s="379"/>
    </row>
    <row r="32" spans="2:6" s="405" customFormat="1" ht="14.5" thickBot="1" x14ac:dyDescent="0.35">
      <c r="B32" s="401"/>
      <c r="C32" s="402"/>
      <c r="D32" s="403"/>
      <c r="E32" s="403"/>
      <c r="F32" s="404"/>
    </row>
    <row r="33" spans="3:4" s="405" customFormat="1" ht="66" customHeight="1" x14ac:dyDescent="0.3">
      <c r="C33" s="406"/>
      <c r="D33" s="407" t="s">
        <v>258</v>
      </c>
    </row>
    <row r="34" spans="3:4" s="405" customFormat="1" ht="14" x14ac:dyDescent="0.3">
      <c r="C34" s="406"/>
    </row>
    <row r="35" spans="3:4" s="405" customFormat="1" ht="14" x14ac:dyDescent="0.3">
      <c r="C35" s="406"/>
    </row>
    <row r="36" spans="3:4" s="405" customFormat="1" ht="14" x14ac:dyDescent="0.3">
      <c r="C36" s="406"/>
    </row>
  </sheetData>
  <mergeCells count="1">
    <mergeCell ref="C31:E31"/>
  </mergeCells>
  <hyperlinks>
    <hyperlink ref="D22" location="'Cash Flow Projection - Basic'!A1" display="Cash Flow Projection (Basic)" xr:uid="{FFFF8E3D-64EB-4F83-B843-F6A0DB4F70BB}"/>
    <hyperlink ref="D23" location="Glossary!A1" display="Glossary" xr:uid="{6081F659-91B1-4451-AE2B-D9B8C53836ED}"/>
    <hyperlink ref="D14" location="Summary!A1" display="Summary" xr:uid="{B41B58AF-6C97-4318-B44B-AD4F2B72D4AF}"/>
    <hyperlink ref="D16" location="'Cash Flow Projection - Advanced'!A1" display="Cash Flow Projection - Advanced" xr:uid="{7DC8A691-A60E-472B-AC3F-D86C7A497F46}"/>
    <hyperlink ref="D17" location="'F&amp;B'!A1" display="Food &amp; Beverage" xr:uid="{C03FEFE4-9992-468E-9FC3-9B880F21E044}"/>
    <hyperlink ref="D18" location="OOD!A1" display="Other Operating Departments" xr:uid="{7DBABA76-0B0D-4FF2-9BEB-D0CE83B7272E}"/>
    <hyperlink ref="D19" location="'Other Expenses'!A1" display="Other Expenses" xr:uid="{B0B3BA77-0AF9-4C81-A4DB-986CBD48FCA9}"/>
    <hyperlink ref="D20" location="'Waterfall - IRR Hurdles'!A1" display="Waterfall - IRR Hurdles" xr:uid="{BF160CB9-4E38-4532-A272-3EBF93E38C58}"/>
    <hyperlink ref="D21" location="Visualisations!A1" display="Visualisations" xr:uid="{66F246AD-5A58-4335-A945-BB8DD5C2062E}"/>
    <hyperlink ref="D15" location="'Operating Cash Flow'!A1" display="Operating Cash Flow" xr:uid="{94006E3C-1539-4DB8-9A9E-DD3E0AE543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5C27D-57FA-4CCE-8D44-1B62C264C9FB}">
  <dimension ref="B1:P61"/>
  <sheetViews>
    <sheetView showGridLines="0" zoomScale="80" zoomScaleNormal="80" workbookViewId="0">
      <selection activeCell="R52" sqref="R52"/>
    </sheetView>
  </sheetViews>
  <sheetFormatPr defaultRowHeight="14" x14ac:dyDescent="0.35"/>
  <cols>
    <col min="1" max="1" width="1.90625" style="1" customWidth="1"/>
    <col min="2" max="2" width="45.90625" style="1" bestFit="1" customWidth="1"/>
    <col min="3" max="3" width="23.90625" style="247" customWidth="1"/>
    <col min="4" max="4" width="43.6328125" style="1" bestFit="1" customWidth="1"/>
    <col min="5" max="5" width="0.90625" style="1" customWidth="1"/>
    <col min="6" max="6" width="32.26953125" style="1" bestFit="1" customWidth="1"/>
    <col min="7" max="7" width="8.7265625" style="1" customWidth="1"/>
    <col min="8" max="8" width="19.36328125" style="247" bestFit="1" customWidth="1"/>
    <col min="9" max="9" width="13.7265625" style="1" bestFit="1" customWidth="1"/>
    <col min="10" max="10" width="15.36328125" style="1" customWidth="1"/>
    <col min="11" max="11" width="0.90625" style="1" customWidth="1"/>
    <col min="12" max="12" width="30.6328125" style="1" bestFit="1" customWidth="1"/>
    <col min="13" max="13" width="14.7265625" style="1" bestFit="1" customWidth="1"/>
    <col min="14" max="14" width="16.7265625" style="1" bestFit="1" customWidth="1"/>
    <col min="15" max="16" width="11.90625" style="1" customWidth="1"/>
    <col min="17" max="16384" width="8.7265625" style="1"/>
  </cols>
  <sheetData>
    <row r="1" spans="2:16" ht="42.5" x14ac:dyDescent="1.1000000000000001">
      <c r="B1" s="31" t="s">
        <v>203</v>
      </c>
    </row>
    <row r="3" spans="2:16" s="33" customFormat="1" ht="15.5" x14ac:dyDescent="0.35">
      <c r="B3" s="32" t="str">
        <f>C6&amp;" "&amp;C7&amp;" "&amp;C8</f>
        <v>XpertHotel 113  Park Lane London, W1K 7AJ</v>
      </c>
      <c r="C3" s="248"/>
      <c r="H3" s="248"/>
    </row>
    <row r="4" spans="2:16" s="33" customFormat="1" ht="16" thickBot="1" x14ac:dyDescent="0.4">
      <c r="C4" s="248"/>
      <c r="H4" s="248"/>
    </row>
    <row r="5" spans="2:16" s="33" customFormat="1" ht="16" thickBot="1" x14ac:dyDescent="0.4">
      <c r="B5" s="34" t="s">
        <v>0</v>
      </c>
      <c r="C5" s="249"/>
      <c r="D5" s="44" t="s">
        <v>1</v>
      </c>
      <c r="F5" s="34" t="s">
        <v>38</v>
      </c>
      <c r="G5" s="49"/>
      <c r="H5" s="249"/>
      <c r="I5" s="35"/>
      <c r="J5" s="44" t="s">
        <v>1</v>
      </c>
      <c r="L5" s="51" t="s">
        <v>56</v>
      </c>
      <c r="M5" s="53" t="s">
        <v>57</v>
      </c>
      <c r="N5" s="53" t="s">
        <v>58</v>
      </c>
      <c r="O5" s="53" t="s">
        <v>40</v>
      </c>
      <c r="P5" s="54" t="s">
        <v>41</v>
      </c>
    </row>
    <row r="6" spans="2:16" s="33" customFormat="1" ht="16" thickBot="1" x14ac:dyDescent="0.4">
      <c r="B6" s="40" t="s">
        <v>2</v>
      </c>
      <c r="C6" s="250" t="s">
        <v>204</v>
      </c>
      <c r="D6" s="39"/>
      <c r="F6" s="38" t="s">
        <v>39</v>
      </c>
      <c r="G6" s="32"/>
      <c r="H6" s="210"/>
      <c r="J6" s="39"/>
      <c r="L6" s="266" t="s">
        <v>59</v>
      </c>
      <c r="M6" s="267">
        <f>'Waterfall - IRR Hurdles'!F5</f>
        <v>-12680000</v>
      </c>
      <c r="N6" s="267">
        <f>'Waterfall - IRR Hurdles'!G5</f>
        <v>20937204.775442049</v>
      </c>
      <c r="O6" s="268">
        <f>'Waterfall - IRR Hurdles'!H5</f>
        <v>0.12417907901108266</v>
      </c>
      <c r="P6" s="269">
        <f>'Waterfall - IRR Hurdles'!I5</f>
        <v>2.651199114782496</v>
      </c>
    </row>
    <row r="7" spans="2:16" s="33" customFormat="1" ht="16" thickBot="1" x14ac:dyDescent="0.4">
      <c r="B7" s="40" t="s">
        <v>3</v>
      </c>
      <c r="C7" s="250" t="s">
        <v>205</v>
      </c>
      <c r="D7" s="39"/>
      <c r="F7" s="40" t="s">
        <v>40</v>
      </c>
      <c r="G7" s="209"/>
      <c r="H7" s="270">
        <f>IRR('Cash Flow Projection - Advanced'!C61:M61)</f>
        <v>9.5071864456465649E-2</v>
      </c>
      <c r="J7" s="39"/>
    </row>
    <row r="8" spans="2:16" s="33" customFormat="1" ht="15.5" x14ac:dyDescent="0.35">
      <c r="B8" s="40" t="s">
        <v>4</v>
      </c>
      <c r="C8" s="250" t="s">
        <v>206</v>
      </c>
      <c r="D8" s="39"/>
      <c r="F8" s="40" t="s">
        <v>41</v>
      </c>
      <c r="G8" s="209"/>
      <c r="H8" s="271">
        <f>SUM('Cash Flow Projection - Advanced'!D61:M61)/-'Cash Flow Projection - Advanced'!C61</f>
        <v>2.1348876021337868</v>
      </c>
      <c r="J8" s="39"/>
      <c r="L8" s="51" t="s">
        <v>60</v>
      </c>
      <c r="M8" s="52"/>
      <c r="N8" s="53" t="s">
        <v>48</v>
      </c>
      <c r="O8" s="53" t="s">
        <v>61</v>
      </c>
      <c r="P8" s="54" t="s">
        <v>62</v>
      </c>
    </row>
    <row r="9" spans="2:16" s="33" customFormat="1" ht="15.5" x14ac:dyDescent="0.35">
      <c r="B9" s="40" t="s">
        <v>5</v>
      </c>
      <c r="C9" s="250">
        <v>150</v>
      </c>
      <c r="D9" s="39"/>
      <c r="F9" s="40" t="s">
        <v>42</v>
      </c>
      <c r="G9" s="209"/>
      <c r="H9" s="272">
        <f>'Cash Flow Projection - Advanced'!C61</f>
        <v>-30680000</v>
      </c>
      <c r="J9" s="39"/>
      <c r="L9" s="38" t="s">
        <v>71</v>
      </c>
      <c r="P9" s="39"/>
    </row>
    <row r="10" spans="2:16" s="33" customFormat="1" ht="15.5" x14ac:dyDescent="0.35">
      <c r="B10" s="40" t="s">
        <v>6</v>
      </c>
      <c r="C10" s="251">
        <f>EOMONTH(DATE(C12,C11,1),0)</f>
        <v>45869</v>
      </c>
      <c r="D10" s="39"/>
      <c r="F10" s="40" t="s">
        <v>216</v>
      </c>
      <c r="G10" s="209"/>
      <c r="H10" s="272">
        <f>SUM('Cash Flow Projection - Advanced'!C61:M61)</f>
        <v>34818351.633464582</v>
      </c>
      <c r="J10" s="39"/>
      <c r="L10" s="40" t="s">
        <v>5</v>
      </c>
      <c r="N10" s="277">
        <f>'Cash Flow Projection - Advanced'!D17</f>
        <v>2600625</v>
      </c>
      <c r="O10" s="277">
        <f>N10/'Operating Cash Flow'!$C$11</f>
        <v>95</v>
      </c>
      <c r="P10" s="278">
        <f>N10/'Operating Cash Flow'!$C$9</f>
        <v>47.5</v>
      </c>
    </row>
    <row r="11" spans="2:16" s="33" customFormat="1" ht="15.5" x14ac:dyDescent="0.35">
      <c r="B11" s="45" t="s">
        <v>7</v>
      </c>
      <c r="C11" s="252">
        <v>7</v>
      </c>
      <c r="D11" s="39"/>
      <c r="F11" s="40" t="s">
        <v>43</v>
      </c>
      <c r="G11" s="209"/>
      <c r="H11" s="273">
        <f>AVERAGE('Cash Flow Projection - Advanced'!D66:M66)</f>
        <v>7.1879934924888034E-2</v>
      </c>
      <c r="J11" s="39"/>
      <c r="L11" s="40" t="s">
        <v>194</v>
      </c>
      <c r="N11" s="277">
        <f>'Cash Flow Projection - Advanced'!D18</f>
        <v>1241056.25</v>
      </c>
      <c r="O11" s="277">
        <f>N11/'Operating Cash Flow'!$C$11</f>
        <v>45.335388127853882</v>
      </c>
      <c r="P11" s="278">
        <f>N11/'Operating Cash Flow'!$C$9</f>
        <v>22.667694063926941</v>
      </c>
    </row>
    <row r="12" spans="2:16" s="33" customFormat="1" ht="15.5" x14ac:dyDescent="0.35">
      <c r="B12" s="45" t="s">
        <v>8</v>
      </c>
      <c r="C12" s="250">
        <v>2025</v>
      </c>
      <c r="D12" s="39"/>
      <c r="F12" s="40"/>
      <c r="G12" s="209"/>
      <c r="H12" s="273"/>
      <c r="J12" s="39"/>
      <c r="L12" s="40" t="s">
        <v>195</v>
      </c>
      <c r="N12" s="277">
        <f>'Cash Flow Projection - Advanced'!D19</f>
        <v>392500</v>
      </c>
      <c r="O12" s="277">
        <f>N12/'Operating Cash Flow'!$C$11</f>
        <v>14.337899543378995</v>
      </c>
      <c r="P12" s="278">
        <f>N12/'Operating Cash Flow'!$C$9</f>
        <v>7.1689497716894977</v>
      </c>
    </row>
    <row r="13" spans="2:16" s="33" customFormat="1" ht="16" thickBot="1" x14ac:dyDescent="0.4">
      <c r="B13" s="46" t="s">
        <v>9</v>
      </c>
      <c r="C13" s="253">
        <v>10</v>
      </c>
      <c r="D13" s="245"/>
      <c r="F13" s="38" t="s">
        <v>44</v>
      </c>
      <c r="G13" s="32"/>
      <c r="H13" s="274"/>
      <c r="J13" s="39"/>
      <c r="L13" s="40" t="s">
        <v>197</v>
      </c>
      <c r="N13" s="279">
        <f>SUM(N10:N12)</f>
        <v>4234181.25</v>
      </c>
      <c r="O13" s="279">
        <f>N13/'Operating Cash Flow'!$C$11</f>
        <v>154.67328767123288</v>
      </c>
      <c r="P13" s="280">
        <f>N13/'Operating Cash Flow'!$C$9</f>
        <v>77.336643835616442</v>
      </c>
    </row>
    <row r="14" spans="2:16" s="33" customFormat="1" ht="16" thickBot="1" x14ac:dyDescent="0.4">
      <c r="C14" s="248"/>
      <c r="F14" s="40" t="s">
        <v>40</v>
      </c>
      <c r="G14" s="209"/>
      <c r="H14" s="270">
        <f>IRR('Cash Flow Projection - Advanced'!C63:M63)</f>
        <v>0.14007183408917023</v>
      </c>
      <c r="J14" s="39"/>
      <c r="L14" s="38" t="s">
        <v>109</v>
      </c>
      <c r="N14" s="276"/>
      <c r="O14" s="276"/>
      <c r="P14" s="278"/>
    </row>
    <row r="15" spans="2:16" s="33" customFormat="1" ht="15.5" x14ac:dyDescent="0.35">
      <c r="B15" s="350" t="s">
        <v>10</v>
      </c>
      <c r="C15" s="53"/>
      <c r="D15" s="351" t="s">
        <v>1</v>
      </c>
      <c r="F15" s="40" t="s">
        <v>41</v>
      </c>
      <c r="G15" s="209"/>
      <c r="H15" s="271">
        <f>SUM('Cash Flow Projection - Advanced'!D63:M63)/-'Cash Flow Projection - Advanced'!C63</f>
        <v>3.0639988934781202</v>
      </c>
      <c r="J15" s="39"/>
      <c r="L15" s="40" t="s">
        <v>5</v>
      </c>
      <c r="N15" s="277">
        <f>'Cash Flow Projection - Advanced'!D23</f>
        <v>780187.5</v>
      </c>
      <c r="O15" s="277">
        <f>N15/'Operating Cash Flow'!$C$11</f>
        <v>28.5</v>
      </c>
      <c r="P15" s="278">
        <f>N15/'Operating Cash Flow'!$C$9</f>
        <v>14.25</v>
      </c>
    </row>
    <row r="16" spans="2:16" s="33" customFormat="1" ht="15.5" x14ac:dyDescent="0.35">
      <c r="B16" s="40" t="s">
        <v>217</v>
      </c>
      <c r="C16" s="342">
        <v>0.13</v>
      </c>
      <c r="D16" s="39"/>
      <c r="F16" s="40" t="s">
        <v>42</v>
      </c>
      <c r="G16" s="209"/>
      <c r="H16" s="272">
        <f>'Cash Flow Projection - Advanced'!C63</f>
        <v>-12680000</v>
      </c>
      <c r="J16" s="39"/>
      <c r="L16" s="40" t="s">
        <v>194</v>
      </c>
      <c r="N16" s="277">
        <f>'Cash Flow Projection - Advanced'!D24</f>
        <v>930652.375</v>
      </c>
      <c r="O16" s="277">
        <f>N16/'Operating Cash Flow'!$C$11</f>
        <v>33.996433789954338</v>
      </c>
      <c r="P16" s="278">
        <f>N16/'Operating Cash Flow'!$C$9</f>
        <v>16.998216894977169</v>
      </c>
    </row>
    <row r="17" spans="2:16" s="33" customFormat="1" ht="15.5" x14ac:dyDescent="0.35">
      <c r="B17" s="40" t="s">
        <v>218</v>
      </c>
      <c r="C17" s="343">
        <f>C32</f>
        <v>0.05</v>
      </c>
      <c r="D17" s="39"/>
      <c r="F17" s="40" t="s">
        <v>216</v>
      </c>
      <c r="G17" s="209"/>
      <c r="H17" s="272">
        <f>SUM('Cash Flow Projection - Advanced'!C63:M63)</f>
        <v>26171505.969302565</v>
      </c>
      <c r="J17" s="39"/>
      <c r="L17" s="40" t="s">
        <v>195</v>
      </c>
      <c r="N17" s="277">
        <f>'Cash Flow Projection - Advanced'!D25</f>
        <v>104050</v>
      </c>
      <c r="O17" s="277">
        <f>N17/'Operating Cash Flow'!$C$11</f>
        <v>3.8009132420091323</v>
      </c>
      <c r="P17" s="278">
        <f>N17/'Operating Cash Flow'!$C$9</f>
        <v>1.9004566210045661</v>
      </c>
    </row>
    <row r="18" spans="2:16" s="33" customFormat="1" ht="16" thickBot="1" x14ac:dyDescent="0.4">
      <c r="B18" s="40" t="s">
        <v>11</v>
      </c>
      <c r="C18" s="343">
        <f>C16*(1-C31)+C17*C31*(1-C37)</f>
        <v>7.6300000000000007E-2</v>
      </c>
      <c r="D18" s="39"/>
      <c r="F18" s="46" t="s">
        <v>45</v>
      </c>
      <c r="G18" s="211"/>
      <c r="H18" s="275">
        <f>AVERAGE('Cash Flow Projection - Advanced'!D67:M67)</f>
        <v>8.8612153746152278E-2</v>
      </c>
      <c r="I18" s="43"/>
      <c r="J18" s="37"/>
      <c r="L18" s="40" t="s">
        <v>196</v>
      </c>
      <c r="N18" s="279">
        <f>SUM(N15:N17)</f>
        <v>1814889.875</v>
      </c>
      <c r="O18" s="279">
        <f>N18/'Operating Cash Flow'!$C$11</f>
        <v>66.297347031963469</v>
      </c>
      <c r="P18" s="280">
        <f>N18/'Operating Cash Flow'!$C$9</f>
        <v>33.148673515981734</v>
      </c>
    </row>
    <row r="19" spans="2:16" s="33" customFormat="1" ht="16" thickBot="1" x14ac:dyDescent="0.4">
      <c r="B19" s="40" t="s">
        <v>12</v>
      </c>
      <c r="C19" s="342">
        <v>0.06</v>
      </c>
      <c r="D19" s="39"/>
      <c r="H19" s="248"/>
      <c r="L19" s="38" t="s">
        <v>120</v>
      </c>
      <c r="N19" s="276"/>
      <c r="O19" s="276"/>
      <c r="P19" s="278"/>
    </row>
    <row r="20" spans="2:16" s="33" customFormat="1" ht="15.5" x14ac:dyDescent="0.35">
      <c r="B20" s="40" t="s">
        <v>13</v>
      </c>
      <c r="C20" s="344">
        <f>NPV(C18,'Cash Flow Projection - Advanced'!C61:M61)</f>
        <v>4270169.2309415219</v>
      </c>
      <c r="D20" s="39"/>
      <c r="F20" s="51" t="s">
        <v>46</v>
      </c>
      <c r="G20" s="52"/>
      <c r="H20" s="53" t="s">
        <v>47</v>
      </c>
      <c r="I20" s="52" t="s">
        <v>48</v>
      </c>
      <c r="J20" s="351" t="s">
        <v>1</v>
      </c>
      <c r="L20" s="40" t="s">
        <v>5</v>
      </c>
      <c r="N20" s="277">
        <f>'Cash Flow Projection - Advanced'!D29</f>
        <v>1820437.5</v>
      </c>
      <c r="O20" s="277">
        <f>N20/'Operating Cash Flow'!$C$11</f>
        <v>66.5</v>
      </c>
      <c r="P20" s="278">
        <f>N20/'Operating Cash Flow'!$C$9</f>
        <v>33.25</v>
      </c>
    </row>
    <row r="21" spans="2:16" s="33" customFormat="1" ht="15.5" x14ac:dyDescent="0.35">
      <c r="B21" s="40" t="s">
        <v>14</v>
      </c>
      <c r="C21" s="345">
        <f>'Cash Flow Projection - Advanced'!D49/Summary!C19</f>
        <v>19705133.685416669</v>
      </c>
      <c r="D21" s="39"/>
      <c r="F21" s="353" t="s">
        <v>49</v>
      </c>
      <c r="G21" s="41"/>
      <c r="H21" s="257"/>
      <c r="I21" s="41"/>
      <c r="J21" s="48"/>
      <c r="L21" s="40" t="s">
        <v>194</v>
      </c>
      <c r="N21" s="277">
        <f>'Cash Flow Projection - Advanced'!D30</f>
        <v>310403.875</v>
      </c>
      <c r="O21" s="277">
        <f>N21/'Operating Cash Flow'!$C$11</f>
        <v>11.338954337899544</v>
      </c>
      <c r="P21" s="278">
        <f>N21/'Operating Cash Flow'!$C$9</f>
        <v>5.6694771689497721</v>
      </c>
    </row>
    <row r="22" spans="2:16" s="33" customFormat="1" ht="15.5" x14ac:dyDescent="0.35">
      <c r="B22" s="40" t="s">
        <v>15</v>
      </c>
      <c r="C22" s="346">
        <v>30000000</v>
      </c>
      <c r="D22" s="39"/>
      <c r="F22" s="40" t="s">
        <v>15</v>
      </c>
      <c r="G22" s="276"/>
      <c r="H22" s="272">
        <f>I22/$C$9</f>
        <v>200000</v>
      </c>
      <c r="I22" s="354">
        <f>C22</f>
        <v>30000000</v>
      </c>
      <c r="J22" s="355"/>
      <c r="L22" s="40" t="s">
        <v>195</v>
      </c>
      <c r="N22" s="277">
        <f>'Cash Flow Projection - Advanced'!D31</f>
        <v>288450</v>
      </c>
      <c r="O22" s="277">
        <f>N22/'Operating Cash Flow'!$C$11</f>
        <v>10.536986301369863</v>
      </c>
      <c r="P22" s="278">
        <f>N22/'Operating Cash Flow'!$C$9</f>
        <v>5.2684931506849315</v>
      </c>
    </row>
    <row r="23" spans="2:16" s="33" customFormat="1" ht="15.5" x14ac:dyDescent="0.35">
      <c r="B23" s="40" t="s">
        <v>16</v>
      </c>
      <c r="C23" s="254">
        <v>0.01</v>
      </c>
      <c r="D23" s="39"/>
      <c r="F23" s="40" t="s">
        <v>19</v>
      </c>
      <c r="G23" s="276"/>
      <c r="H23" s="272">
        <f t="shared" ref="H23:H28" si="0">I23/$C$9</f>
        <v>204533.33333333334</v>
      </c>
      <c r="I23" s="354">
        <f>C27</f>
        <v>30680000</v>
      </c>
      <c r="J23" s="355"/>
      <c r="L23" s="40" t="s">
        <v>196</v>
      </c>
      <c r="N23" s="279">
        <f>SUM(N20:N22)</f>
        <v>2419291.375</v>
      </c>
      <c r="O23" s="279">
        <f>N23/'Operating Cash Flow'!$C$11</f>
        <v>88.375940639269402</v>
      </c>
      <c r="P23" s="280">
        <f>N23/'Operating Cash Flow'!$C$9</f>
        <v>44.187970319634701</v>
      </c>
    </row>
    <row r="24" spans="2:16" s="33" customFormat="1" ht="15.5" x14ac:dyDescent="0.35">
      <c r="B24" s="40"/>
      <c r="C24" s="347">
        <f>C22*C23</f>
        <v>300000</v>
      </c>
      <c r="D24" s="39"/>
      <c r="F24" s="40" t="s">
        <v>50</v>
      </c>
      <c r="G24" s="276"/>
      <c r="H24" s="272">
        <f t="shared" si="0"/>
        <v>84533.333333333328</v>
      </c>
      <c r="I24" s="354">
        <f>C27-C38</f>
        <v>12680000</v>
      </c>
      <c r="J24" s="355"/>
      <c r="L24" s="38" t="s">
        <v>98</v>
      </c>
      <c r="N24" s="276"/>
      <c r="O24" s="276"/>
      <c r="P24" s="278"/>
    </row>
    <row r="25" spans="2:16" s="33" customFormat="1" ht="15.5" x14ac:dyDescent="0.35">
      <c r="B25" s="40" t="s">
        <v>17</v>
      </c>
      <c r="C25" s="348">
        <v>200000</v>
      </c>
      <c r="D25" s="39"/>
      <c r="F25" s="38" t="s">
        <v>51</v>
      </c>
      <c r="G25" s="276"/>
      <c r="H25" s="272"/>
      <c r="I25" s="276"/>
      <c r="J25" s="355"/>
      <c r="L25" s="40" t="s">
        <v>149</v>
      </c>
      <c r="N25" s="277">
        <f>'Cash Flow Projection - Advanced'!D35</f>
        <v>607778.25</v>
      </c>
      <c r="O25" s="277">
        <f>N25/'Operating Cash Flow'!$C$11</f>
        <v>22.201945205479451</v>
      </c>
      <c r="P25" s="278">
        <f>N25/'Operating Cash Flow'!$C$9</f>
        <v>11.100972602739725</v>
      </c>
    </row>
    <row r="26" spans="2:16" s="33" customFormat="1" ht="15.5" x14ac:dyDescent="0.35">
      <c r="B26" s="40" t="s">
        <v>18</v>
      </c>
      <c r="C26" s="349">
        <f>C30*C33</f>
        <v>180000</v>
      </c>
      <c r="D26" s="39"/>
      <c r="F26" s="40" t="s">
        <v>33</v>
      </c>
      <c r="G26" s="276"/>
      <c r="H26" s="272">
        <f t="shared" si="0"/>
        <v>298595.10376982082</v>
      </c>
      <c r="I26" s="354">
        <f>C46</f>
        <v>44789265.565473124</v>
      </c>
      <c r="J26" s="355"/>
      <c r="L26" s="38" t="s">
        <v>150</v>
      </c>
      <c r="N26" s="281">
        <f>'Cash Flow Projection - Advanced'!D37</f>
        <v>1811513.125</v>
      </c>
      <c r="O26" s="281">
        <f>N26/'Operating Cash Flow'!$C$11</f>
        <v>66.173995433789955</v>
      </c>
      <c r="P26" s="282">
        <f>N26/'Operating Cash Flow'!$C$9</f>
        <v>33.086997716894977</v>
      </c>
    </row>
    <row r="27" spans="2:16" s="33" customFormat="1" ht="16" thickBot="1" x14ac:dyDescent="0.4">
      <c r="B27" s="46" t="s">
        <v>19</v>
      </c>
      <c r="C27" s="352">
        <f>C22+C24+C26+C25</f>
        <v>30680000</v>
      </c>
      <c r="D27" s="37"/>
      <c r="F27" s="40" t="s">
        <v>37</v>
      </c>
      <c r="G27" s="276"/>
      <c r="H27" s="272">
        <f t="shared" si="0"/>
        <v>289637.25065672619</v>
      </c>
      <c r="I27" s="354">
        <f>C49</f>
        <v>43445587.598508932</v>
      </c>
      <c r="J27" s="355"/>
      <c r="L27" s="38" t="s">
        <v>151</v>
      </c>
      <c r="N27" s="276"/>
      <c r="O27" s="276"/>
      <c r="P27" s="278"/>
    </row>
    <row r="28" spans="2:16" s="33" customFormat="1" ht="16" thickBot="1" x14ac:dyDescent="0.4">
      <c r="C28" s="248"/>
      <c r="F28" s="46" t="s">
        <v>36</v>
      </c>
      <c r="G28" s="356"/>
      <c r="H28" s="357">
        <f t="shared" si="0"/>
        <v>184103.23249526974</v>
      </c>
      <c r="I28" s="358">
        <f>C50</f>
        <v>27615484.874290459</v>
      </c>
      <c r="J28" s="245"/>
      <c r="L28" s="40" t="s">
        <v>152</v>
      </c>
      <c r="N28" s="277">
        <f>'Cash Flow Projection - Advanced'!D40</f>
        <v>143255.70000000001</v>
      </c>
      <c r="O28" s="277">
        <f>N28/'Operating Cash Flow'!$C$11</f>
        <v>5.2330849315068502</v>
      </c>
      <c r="P28" s="278">
        <f>N28/'Operating Cash Flow'!$C$9</f>
        <v>2.6165424657534251</v>
      </c>
    </row>
    <row r="29" spans="2:16" s="33" customFormat="1" ht="16" thickBot="1" x14ac:dyDescent="0.4">
      <c r="B29" s="34" t="s">
        <v>20</v>
      </c>
      <c r="C29" s="249"/>
      <c r="D29" s="44" t="s">
        <v>1</v>
      </c>
      <c r="L29" s="38" t="s">
        <v>144</v>
      </c>
      <c r="N29" s="276"/>
      <c r="O29" s="276"/>
      <c r="P29" s="278"/>
    </row>
    <row r="30" spans="2:16" s="33" customFormat="1" ht="16" thickBot="1" x14ac:dyDescent="0.4">
      <c r="B30" s="47" t="s">
        <v>21</v>
      </c>
      <c r="C30" s="255">
        <f>C31*C22</f>
        <v>18000000</v>
      </c>
      <c r="D30" s="48"/>
      <c r="F30" s="359" t="s">
        <v>52</v>
      </c>
      <c r="G30" s="35"/>
      <c r="H30" s="249"/>
      <c r="I30" s="35"/>
      <c r="J30" s="44" t="s">
        <v>1</v>
      </c>
      <c r="L30" s="40" t="s">
        <v>165</v>
      </c>
      <c r="N30" s="277">
        <f>'Cash Flow Projection - Advanced'!D43</f>
        <v>42341.8125</v>
      </c>
      <c r="O30" s="277">
        <f>N30/'Operating Cash Flow'!$C$11</f>
        <v>1.5467328767123287</v>
      </c>
      <c r="P30" s="278">
        <f>N30/'Operating Cash Flow'!$C$9</f>
        <v>0.77336643835616437</v>
      </c>
    </row>
    <row r="31" spans="2:16" s="33" customFormat="1" ht="16" thickBot="1" x14ac:dyDescent="0.4">
      <c r="B31" s="40" t="s">
        <v>22</v>
      </c>
      <c r="C31" s="254">
        <v>0.6</v>
      </c>
      <c r="D31" s="39"/>
      <c r="F31" s="360" t="s">
        <v>53</v>
      </c>
      <c r="G31" s="43"/>
      <c r="H31" s="361">
        <f>MIN('Cash Flow Projection - Advanced'!D70:M70)</f>
        <v>1.3136755790277777</v>
      </c>
      <c r="I31" s="43"/>
      <c r="J31" s="37"/>
      <c r="L31" s="38" t="s">
        <v>158</v>
      </c>
      <c r="N31" s="281">
        <f>'Cash Flow Projection - Advanced'!D45</f>
        <v>1625915.6125</v>
      </c>
      <c r="O31" s="281">
        <f>N31/'Operating Cash Flow'!$C$11</f>
        <v>59.394177625570777</v>
      </c>
      <c r="P31" s="282">
        <f>N31/'Operating Cash Flow'!$C$9</f>
        <v>29.697088812785388</v>
      </c>
    </row>
    <row r="32" spans="2:16" s="33" customFormat="1" ht="15.5" x14ac:dyDescent="0.35">
      <c r="B32" s="40" t="s">
        <v>23</v>
      </c>
      <c r="C32" s="256">
        <v>0.05</v>
      </c>
      <c r="D32" s="39"/>
      <c r="L32" s="40" t="s">
        <v>159</v>
      </c>
      <c r="N32" s="277">
        <f>'Cash Flow Projection - Advanced'!D46</f>
        <v>84683.625</v>
      </c>
      <c r="O32" s="277">
        <f>N32/'Operating Cash Flow'!$C$11</f>
        <v>3.0934657534246575</v>
      </c>
      <c r="P32" s="278">
        <f>N32/'Operating Cash Flow'!$C$9</f>
        <v>1.5467328767123287</v>
      </c>
    </row>
    <row r="33" spans="2:16" s="33" customFormat="1" ht="15.5" x14ac:dyDescent="0.35">
      <c r="B33" s="40" t="s">
        <v>24</v>
      </c>
      <c r="C33" s="256">
        <v>0.01</v>
      </c>
      <c r="D33" s="39"/>
      <c r="H33" s="248"/>
      <c r="L33" s="40" t="str">
        <f>'Cash Flow Projection - Advanced'!B47</f>
        <v>Taxes</v>
      </c>
      <c r="N33" s="277">
        <f>'Cash Flow Projection - Advanced'!D47</f>
        <v>358923.96637500002</v>
      </c>
      <c r="O33" s="277">
        <f>N33/'Operating Cash Flow'!$C$11</f>
        <v>13.111377767123289</v>
      </c>
      <c r="P33" s="278">
        <f>N33/'Operating Cash Flow'!$C$9</f>
        <v>6.5556888835616443</v>
      </c>
    </row>
    <row r="34" spans="2:16" s="33" customFormat="1" ht="16" thickBot="1" x14ac:dyDescent="0.4">
      <c r="B34" s="40" t="s">
        <v>25</v>
      </c>
      <c r="C34" s="250">
        <v>3</v>
      </c>
      <c r="D34" s="39"/>
      <c r="F34" s="212"/>
      <c r="G34" s="212"/>
      <c r="H34" s="213"/>
      <c r="I34" s="213"/>
      <c r="J34" s="213"/>
      <c r="L34" s="42" t="s">
        <v>160</v>
      </c>
      <c r="M34" s="43"/>
      <c r="N34" s="283">
        <f>'Cash Flow Projection - Advanced'!D49</f>
        <v>1182308.021125</v>
      </c>
      <c r="O34" s="283">
        <f>N34/'Operating Cash Flow'!$C$11</f>
        <v>43.18933410502283</v>
      </c>
      <c r="P34" s="284">
        <f>N34/'Operating Cash Flow'!$C$9</f>
        <v>21.594667052511415</v>
      </c>
    </row>
    <row r="35" spans="2:16" s="33" customFormat="1" ht="15.5" x14ac:dyDescent="0.35">
      <c r="B35" s="40" t="s">
        <v>26</v>
      </c>
      <c r="C35" s="250">
        <v>30</v>
      </c>
      <c r="D35" s="39"/>
      <c r="H35" s="248"/>
    </row>
    <row r="36" spans="2:16" s="33" customFormat="1" ht="15.5" x14ac:dyDescent="0.35">
      <c r="B36" s="40" t="s">
        <v>27</v>
      </c>
      <c r="C36" s="250">
        <v>10</v>
      </c>
      <c r="D36" s="39"/>
      <c r="H36" s="248"/>
      <c r="N36" s="276"/>
      <c r="O36" s="276"/>
      <c r="P36" s="276"/>
    </row>
    <row r="37" spans="2:16" s="33" customFormat="1" ht="15.5" x14ac:dyDescent="0.35">
      <c r="B37" s="40" t="s">
        <v>219</v>
      </c>
      <c r="C37" s="256">
        <v>0.19</v>
      </c>
      <c r="D37" s="39"/>
      <c r="H37" s="248"/>
    </row>
    <row r="38" spans="2:16" s="33" customFormat="1" ht="15.5" x14ac:dyDescent="0.35">
      <c r="B38" s="40" t="s">
        <v>28</v>
      </c>
      <c r="C38" s="258">
        <f>C30</f>
        <v>18000000</v>
      </c>
      <c r="D38" s="39"/>
      <c r="H38" s="248"/>
    </row>
    <row r="39" spans="2:16" s="33" customFormat="1" ht="15.5" x14ac:dyDescent="0.35">
      <c r="B39" s="40" t="s">
        <v>29</v>
      </c>
      <c r="C39" s="258">
        <f>C30*C32</f>
        <v>900000</v>
      </c>
      <c r="D39" s="39"/>
      <c r="H39" s="248"/>
    </row>
    <row r="40" spans="2:16" s="33" customFormat="1" ht="15.5" x14ac:dyDescent="0.35">
      <c r="B40" s="40" t="s">
        <v>30</v>
      </c>
      <c r="C40" s="258">
        <f>PMT(C32/12,C35*12,-C30)*12</f>
        <v>1159534.7057062206</v>
      </c>
      <c r="D40" s="39"/>
      <c r="H40" s="248"/>
    </row>
    <row r="41" spans="2:16" s="33" customFormat="1" ht="16" thickBot="1" x14ac:dyDescent="0.4">
      <c r="B41" s="46" t="s">
        <v>31</v>
      </c>
      <c r="C41" s="259">
        <f>FV(C32/12,(MAX(C34,MIN(C36,C13))-C34)*12,C40/12,-C30)</f>
        <v>15830102.724218471</v>
      </c>
      <c r="D41" s="37"/>
      <c r="H41" s="248"/>
    </row>
    <row r="42" spans="2:16" s="33" customFormat="1" ht="16" thickBot="1" x14ac:dyDescent="0.4">
      <c r="C42" s="248"/>
      <c r="H42" s="248"/>
    </row>
    <row r="43" spans="2:16" s="33" customFormat="1" ht="16" thickBot="1" x14ac:dyDescent="0.4">
      <c r="B43" s="34" t="s">
        <v>32</v>
      </c>
      <c r="C43" s="249"/>
      <c r="D43" s="44" t="s">
        <v>1</v>
      </c>
      <c r="H43" s="248"/>
    </row>
    <row r="44" spans="2:16" s="33" customFormat="1" ht="15.5" x14ac:dyDescent="0.35">
      <c r="B44" s="47" t="s">
        <v>212</v>
      </c>
      <c r="C44" s="285">
        <f>SUMIFS('Cash Flow Projection - Advanced'!D49:M49,'Cash Flow Projection - Advanced'!D14:M14, 1)</f>
        <v>2687355.9339283872</v>
      </c>
      <c r="D44" s="48"/>
      <c r="H44" s="248"/>
    </row>
    <row r="45" spans="2:16" s="33" customFormat="1" ht="15.5" x14ac:dyDescent="0.35">
      <c r="B45" s="40" t="s">
        <v>34</v>
      </c>
      <c r="C45" s="256">
        <v>0.06</v>
      </c>
      <c r="D45" s="39"/>
      <c r="H45" s="248"/>
    </row>
    <row r="46" spans="2:16" s="33" customFormat="1" ht="15.5" x14ac:dyDescent="0.35">
      <c r="B46" s="40" t="s">
        <v>33</v>
      </c>
      <c r="C46" s="286">
        <f>C44/Summary!C45</f>
        <v>44789265.565473124</v>
      </c>
      <c r="D46" s="39"/>
      <c r="H46" s="248"/>
    </row>
    <row r="47" spans="2:16" s="33" customFormat="1" ht="15.5" x14ac:dyDescent="0.35">
      <c r="B47" s="40" t="s">
        <v>213</v>
      </c>
      <c r="C47" s="254">
        <v>0.03</v>
      </c>
      <c r="D47" s="39"/>
      <c r="H47" s="248"/>
    </row>
    <row r="48" spans="2:16" s="33" customFormat="1" ht="15.5" x14ac:dyDescent="0.35">
      <c r="B48" s="40" t="s">
        <v>35</v>
      </c>
      <c r="C48" s="286">
        <f>C46*C47</f>
        <v>1343677.9669641936</v>
      </c>
      <c r="D48" s="39"/>
      <c r="H48" s="248"/>
    </row>
    <row r="49" spans="2:8" s="33" customFormat="1" ht="15.5" x14ac:dyDescent="0.35">
      <c r="B49" s="40" t="s">
        <v>37</v>
      </c>
      <c r="C49" s="286">
        <f>C46-C48</f>
        <v>43445587.598508932</v>
      </c>
      <c r="D49" s="39"/>
      <c r="H49" s="248"/>
    </row>
    <row r="50" spans="2:8" s="33" customFormat="1" ht="16" thickBot="1" x14ac:dyDescent="0.4">
      <c r="B50" s="46" t="s">
        <v>36</v>
      </c>
      <c r="C50" s="259">
        <f>C49-C41</f>
        <v>27615484.874290459</v>
      </c>
      <c r="D50" s="37"/>
      <c r="H50" s="248"/>
    </row>
    <row r="51" spans="2:8" s="33" customFormat="1" ht="15.5" x14ac:dyDescent="0.35">
      <c r="C51" s="248"/>
      <c r="H51" s="248"/>
    </row>
    <row r="52" spans="2:8" s="33" customFormat="1" ht="15.5" x14ac:dyDescent="0.35">
      <c r="C52" s="248"/>
      <c r="H52" s="248"/>
    </row>
    <row r="53" spans="2:8" s="33" customFormat="1" ht="15.5" x14ac:dyDescent="0.35">
      <c r="C53" s="248"/>
      <c r="H53" s="248"/>
    </row>
    <row r="54" spans="2:8" s="33" customFormat="1" ht="15.5" x14ac:dyDescent="0.35">
      <c r="C54" s="248"/>
      <c r="H54" s="248"/>
    </row>
    <row r="55" spans="2:8" s="33" customFormat="1" ht="15.5" x14ac:dyDescent="0.35">
      <c r="C55" s="248"/>
      <c r="H55" s="248"/>
    </row>
    <row r="56" spans="2:8" s="33" customFormat="1" ht="15.5" x14ac:dyDescent="0.35">
      <c r="C56" s="248"/>
      <c r="H56" s="248"/>
    </row>
    <row r="57" spans="2:8" s="33" customFormat="1" ht="15.5" x14ac:dyDescent="0.35">
      <c r="C57" s="248"/>
      <c r="H57" s="248"/>
    </row>
    <row r="58" spans="2:8" s="33" customFormat="1" ht="15.5" x14ac:dyDescent="0.35">
      <c r="C58" s="248"/>
      <c r="H58" s="248"/>
    </row>
    <row r="59" spans="2:8" s="33" customFormat="1" ht="15.5" x14ac:dyDescent="0.35">
      <c r="C59" s="248"/>
      <c r="H59" s="248"/>
    </row>
    <row r="60" spans="2:8" s="33" customFormat="1" ht="15.5" x14ac:dyDescent="0.35">
      <c r="C60" s="248"/>
      <c r="H60" s="248"/>
    </row>
    <row r="61" spans="2:8" s="33" customFormat="1" ht="15.5" x14ac:dyDescent="0.35">
      <c r="C61" s="248"/>
      <c r="H61" s="248"/>
    </row>
  </sheetData>
  <dataValidations count="2">
    <dataValidation type="list" allowBlank="1" showInputMessage="1" showErrorMessage="1" sqref="C11" xr:uid="{2AFFE704-2644-4005-8B00-5EB2F7660F13}">
      <formula1>"1,2,3,4,5,6,7,8,9,10,11,12"</formula1>
    </dataValidation>
    <dataValidation type="list" allowBlank="1" showInputMessage="1" showErrorMessage="1" sqref="C13" xr:uid="{9941BD75-675A-4095-8871-855EFBF77444}">
      <formula1>"1,2,3,4,5,6,7,8,9,10"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55E8-3245-49BA-AF69-60FDDDC0ECD9}">
  <sheetPr>
    <tabColor theme="0"/>
  </sheetPr>
  <dimension ref="B1:N85"/>
  <sheetViews>
    <sheetView showGridLines="0" topLeftCell="A36" zoomScale="90" zoomScaleNormal="90" workbookViewId="0">
      <selection activeCell="U20" sqref="U20"/>
    </sheetView>
  </sheetViews>
  <sheetFormatPr defaultRowHeight="14" x14ac:dyDescent="0.3"/>
  <cols>
    <col min="1" max="1" width="1.7265625" style="3" customWidth="1"/>
    <col min="2" max="2" width="28.6328125" style="3" bestFit="1" customWidth="1"/>
    <col min="3" max="3" width="15" style="3" bestFit="1" customWidth="1"/>
    <col min="4" max="12" width="16.08984375" style="3" bestFit="1" customWidth="1"/>
    <col min="13" max="13" width="8.7265625" style="3"/>
    <col min="14" max="14" width="12.08984375" style="3" bestFit="1" customWidth="1"/>
    <col min="15" max="16384" width="8.7265625" style="3"/>
  </cols>
  <sheetData>
    <row r="1" spans="2:12" ht="42.5" x14ac:dyDescent="1.1000000000000001">
      <c r="B1" s="31" t="s">
        <v>203</v>
      </c>
    </row>
    <row r="2" spans="2:12" s="56" customFormat="1" ht="15.5" x14ac:dyDescent="0.35">
      <c r="B2" s="55" t="str">
        <f>Summary!B3</f>
        <v>XpertHotel 113  Park Lane London, W1K 7AJ</v>
      </c>
    </row>
    <row r="3" spans="2:12" s="56" customFormat="1" ht="16" thickBot="1" x14ac:dyDescent="0.4"/>
    <row r="4" spans="2:12" s="56" customFormat="1" ht="15.5" x14ac:dyDescent="0.35">
      <c r="B4" s="86"/>
      <c r="C4" s="125">
        <v>1</v>
      </c>
      <c r="D4" s="125">
        <v>2</v>
      </c>
      <c r="E4" s="125">
        <v>3</v>
      </c>
      <c r="F4" s="125">
        <v>4</v>
      </c>
      <c r="G4" s="125">
        <v>5</v>
      </c>
      <c r="H4" s="125">
        <v>6</v>
      </c>
      <c r="I4" s="125">
        <v>7</v>
      </c>
      <c r="J4" s="125">
        <v>8</v>
      </c>
      <c r="K4" s="125">
        <v>9</v>
      </c>
      <c r="L4" s="126">
        <v>10</v>
      </c>
    </row>
    <row r="5" spans="2:12" s="56" customFormat="1" ht="15.5" x14ac:dyDescent="0.35">
      <c r="B5" s="88" t="s">
        <v>69</v>
      </c>
      <c r="C5" s="127">
        <f>'Cash Flow Projection - Advanced'!C6</f>
        <v>45869</v>
      </c>
      <c r="D5" s="127">
        <f>C6</f>
        <v>46234</v>
      </c>
      <c r="E5" s="127">
        <f t="shared" ref="E5:L5" si="0">D6</f>
        <v>46599</v>
      </c>
      <c r="F5" s="127">
        <f t="shared" si="0"/>
        <v>46965</v>
      </c>
      <c r="G5" s="127">
        <f t="shared" si="0"/>
        <v>47330</v>
      </c>
      <c r="H5" s="127">
        <f t="shared" si="0"/>
        <v>47695</v>
      </c>
      <c r="I5" s="127">
        <f t="shared" si="0"/>
        <v>48060</v>
      </c>
      <c r="J5" s="127">
        <f t="shared" si="0"/>
        <v>48426</v>
      </c>
      <c r="K5" s="127">
        <f t="shared" si="0"/>
        <v>48791</v>
      </c>
      <c r="L5" s="128">
        <f t="shared" si="0"/>
        <v>49156</v>
      </c>
    </row>
    <row r="6" spans="2:12" s="56" customFormat="1" ht="15.5" x14ac:dyDescent="0.35">
      <c r="B6" s="88" t="s">
        <v>63</v>
      </c>
      <c r="C6" s="127">
        <f>'Cash Flow Projection - Advanced'!D6</f>
        <v>46234</v>
      </c>
      <c r="D6" s="127">
        <f>EOMONTH(C6,12)</f>
        <v>46599</v>
      </c>
      <c r="E6" s="127">
        <f t="shared" ref="E6:L6" si="1">EOMONTH(D6,12)</f>
        <v>46965</v>
      </c>
      <c r="F6" s="127">
        <f t="shared" si="1"/>
        <v>47330</v>
      </c>
      <c r="G6" s="127">
        <f t="shared" si="1"/>
        <v>47695</v>
      </c>
      <c r="H6" s="127">
        <f t="shared" si="1"/>
        <v>48060</v>
      </c>
      <c r="I6" s="127">
        <f t="shared" si="1"/>
        <v>48426</v>
      </c>
      <c r="J6" s="127">
        <f t="shared" si="1"/>
        <v>48791</v>
      </c>
      <c r="K6" s="127">
        <f t="shared" si="1"/>
        <v>49156</v>
      </c>
      <c r="L6" s="128">
        <f t="shared" si="1"/>
        <v>49521</v>
      </c>
    </row>
    <row r="7" spans="2:12" s="56" customFormat="1" ht="15.5" x14ac:dyDescent="0.35">
      <c r="B7" s="88" t="s">
        <v>70</v>
      </c>
      <c r="C7" s="129">
        <f>_xlfn.DAYS(C6,C5)</f>
        <v>365</v>
      </c>
      <c r="D7" s="129">
        <f t="shared" ref="D7:L7" si="2">_xlfn.DAYS(D6,D5)</f>
        <v>365</v>
      </c>
      <c r="E7" s="129">
        <f t="shared" si="2"/>
        <v>366</v>
      </c>
      <c r="F7" s="129">
        <f t="shared" si="2"/>
        <v>365</v>
      </c>
      <c r="G7" s="129">
        <f t="shared" si="2"/>
        <v>365</v>
      </c>
      <c r="H7" s="129">
        <f t="shared" si="2"/>
        <v>365</v>
      </c>
      <c r="I7" s="129">
        <f t="shared" si="2"/>
        <v>366</v>
      </c>
      <c r="J7" s="129">
        <f t="shared" si="2"/>
        <v>365</v>
      </c>
      <c r="K7" s="129">
        <f t="shared" si="2"/>
        <v>365</v>
      </c>
      <c r="L7" s="130">
        <f t="shared" si="2"/>
        <v>365</v>
      </c>
    </row>
    <row r="8" spans="2:12" s="56" customFormat="1" ht="15.5" x14ac:dyDescent="0.35">
      <c r="B8" s="88" t="s">
        <v>64</v>
      </c>
      <c r="C8" s="131">
        <f>Summary!$C$9</f>
        <v>150</v>
      </c>
      <c r="D8" s="131">
        <f>Summary!$C$9</f>
        <v>150</v>
      </c>
      <c r="E8" s="131">
        <f>Summary!$C$9</f>
        <v>150</v>
      </c>
      <c r="F8" s="131">
        <f>Summary!$C$9</f>
        <v>150</v>
      </c>
      <c r="G8" s="131">
        <f>Summary!$C$9</f>
        <v>150</v>
      </c>
      <c r="H8" s="131">
        <f>Summary!$C$9</f>
        <v>150</v>
      </c>
      <c r="I8" s="131">
        <f>Summary!$C$9</f>
        <v>150</v>
      </c>
      <c r="J8" s="131">
        <f>Summary!$C$9</f>
        <v>150</v>
      </c>
      <c r="K8" s="131">
        <f>Summary!$C$9</f>
        <v>150</v>
      </c>
      <c r="L8" s="132">
        <f>Summary!$C$9</f>
        <v>150</v>
      </c>
    </row>
    <row r="9" spans="2:12" s="56" customFormat="1" ht="15.5" x14ac:dyDescent="0.35">
      <c r="B9" s="88" t="s">
        <v>65</v>
      </c>
      <c r="C9" s="133">
        <f>C8*C7</f>
        <v>54750</v>
      </c>
      <c r="D9" s="133">
        <f t="shared" ref="D9:L9" si="3">D8*D7</f>
        <v>54750</v>
      </c>
      <c r="E9" s="133">
        <f t="shared" si="3"/>
        <v>54900</v>
      </c>
      <c r="F9" s="133">
        <f t="shared" si="3"/>
        <v>54750</v>
      </c>
      <c r="G9" s="133">
        <f t="shared" si="3"/>
        <v>54750</v>
      </c>
      <c r="H9" s="133">
        <f t="shared" si="3"/>
        <v>54750</v>
      </c>
      <c r="I9" s="133">
        <f>I8*I7</f>
        <v>54900</v>
      </c>
      <c r="J9" s="133">
        <f t="shared" si="3"/>
        <v>54750</v>
      </c>
      <c r="K9" s="133">
        <f t="shared" si="3"/>
        <v>54750</v>
      </c>
      <c r="L9" s="134">
        <f t="shared" si="3"/>
        <v>54750</v>
      </c>
    </row>
    <row r="10" spans="2:12" s="56" customFormat="1" ht="15.5" x14ac:dyDescent="0.35">
      <c r="B10" s="88" t="s">
        <v>67</v>
      </c>
      <c r="C10" s="135">
        <v>0.5</v>
      </c>
      <c r="D10" s="135">
        <v>0.75</v>
      </c>
      <c r="E10" s="135">
        <v>0.8</v>
      </c>
      <c r="F10" s="135">
        <v>0.85</v>
      </c>
      <c r="G10" s="135">
        <v>0.9</v>
      </c>
      <c r="H10" s="135">
        <v>0.9</v>
      </c>
      <c r="I10" s="135">
        <v>0.9</v>
      </c>
      <c r="J10" s="135">
        <v>0.9</v>
      </c>
      <c r="K10" s="135">
        <v>0.9</v>
      </c>
      <c r="L10" s="136">
        <v>0.9</v>
      </c>
    </row>
    <row r="11" spans="2:12" s="56" customFormat="1" ht="15.5" x14ac:dyDescent="0.35">
      <c r="B11" s="88" t="s">
        <v>66</v>
      </c>
      <c r="C11" s="133">
        <f>ROUND(C10*C9,0)</f>
        <v>27375</v>
      </c>
      <c r="D11" s="133">
        <f t="shared" ref="D11:L11" si="4">ROUND(D10*D9,0)</f>
        <v>41063</v>
      </c>
      <c r="E11" s="133">
        <f t="shared" si="4"/>
        <v>43920</v>
      </c>
      <c r="F11" s="133">
        <f t="shared" si="4"/>
        <v>46538</v>
      </c>
      <c r="G11" s="133">
        <f t="shared" si="4"/>
        <v>49275</v>
      </c>
      <c r="H11" s="133">
        <f t="shared" si="4"/>
        <v>49275</v>
      </c>
      <c r="I11" s="133">
        <f t="shared" si="4"/>
        <v>49410</v>
      </c>
      <c r="J11" s="133">
        <f>ROUND(J10*J9,0)</f>
        <v>49275</v>
      </c>
      <c r="K11" s="133">
        <f t="shared" si="4"/>
        <v>49275</v>
      </c>
      <c r="L11" s="134">
        <f t="shared" si="4"/>
        <v>49275</v>
      </c>
    </row>
    <row r="12" spans="2:12" s="56" customFormat="1" ht="15.5" x14ac:dyDescent="0.35">
      <c r="B12" s="88" t="s">
        <v>54</v>
      </c>
      <c r="C12" s="137">
        <v>95</v>
      </c>
      <c r="D12" s="138">
        <f>C12*(1+D13)</f>
        <v>97.850000000000009</v>
      </c>
      <c r="E12" s="138">
        <f t="shared" ref="E12:L12" si="5">D12*(1+E13)</f>
        <v>100.78550000000001</v>
      </c>
      <c r="F12" s="138">
        <f t="shared" si="5"/>
        <v>103.80906500000002</v>
      </c>
      <c r="G12" s="138">
        <f t="shared" si="5"/>
        <v>106.92333695000002</v>
      </c>
      <c r="H12" s="138">
        <f t="shared" si="5"/>
        <v>110.13103705850003</v>
      </c>
      <c r="I12" s="138">
        <f t="shared" si="5"/>
        <v>113.43496817025503</v>
      </c>
      <c r="J12" s="138">
        <f t="shared" si="5"/>
        <v>116.83801721536268</v>
      </c>
      <c r="K12" s="138">
        <f t="shared" si="5"/>
        <v>120.34315773182357</v>
      </c>
      <c r="L12" s="139">
        <f t="shared" si="5"/>
        <v>123.95345246377828</v>
      </c>
    </row>
    <row r="13" spans="2:12" s="56" customFormat="1" ht="15.5" x14ac:dyDescent="0.35">
      <c r="B13" s="88" t="s">
        <v>68</v>
      </c>
      <c r="C13" s="140"/>
      <c r="D13" s="135">
        <v>0.03</v>
      </c>
      <c r="E13" s="135">
        <v>0.03</v>
      </c>
      <c r="F13" s="135">
        <v>0.03</v>
      </c>
      <c r="G13" s="135">
        <v>0.03</v>
      </c>
      <c r="H13" s="135">
        <v>0.03</v>
      </c>
      <c r="I13" s="135">
        <v>0.03</v>
      </c>
      <c r="J13" s="135">
        <v>0.03</v>
      </c>
      <c r="K13" s="135">
        <v>0.03</v>
      </c>
      <c r="L13" s="136">
        <v>0.03</v>
      </c>
    </row>
    <row r="14" spans="2:12" s="56" customFormat="1" ht="15.5" x14ac:dyDescent="0.35">
      <c r="B14" s="88" t="s">
        <v>55</v>
      </c>
      <c r="C14" s="138">
        <f>C12*C10</f>
        <v>47.5</v>
      </c>
      <c r="D14" s="138">
        <f t="shared" ref="D14:L14" si="6">D12*D10</f>
        <v>73.387500000000003</v>
      </c>
      <c r="E14" s="138">
        <f t="shared" si="6"/>
        <v>80.628400000000013</v>
      </c>
      <c r="F14" s="138">
        <f t="shared" si="6"/>
        <v>88.237705250000019</v>
      </c>
      <c r="G14" s="138">
        <f t="shared" si="6"/>
        <v>96.231003255000019</v>
      </c>
      <c r="H14" s="138">
        <f t="shared" si="6"/>
        <v>99.117933352650027</v>
      </c>
      <c r="I14" s="138">
        <f t="shared" si="6"/>
        <v>102.09147135322954</v>
      </c>
      <c r="J14" s="138">
        <f t="shared" si="6"/>
        <v>105.15421549382641</v>
      </c>
      <c r="K14" s="138">
        <f t="shared" si="6"/>
        <v>108.30884195864121</v>
      </c>
      <c r="L14" s="139">
        <f t="shared" si="6"/>
        <v>111.55810721740045</v>
      </c>
    </row>
    <row r="15" spans="2:12" s="56" customFormat="1" ht="15.5" x14ac:dyDescent="0.35">
      <c r="B15" s="88" t="s">
        <v>211</v>
      </c>
      <c r="C15" s="135">
        <v>0.3</v>
      </c>
      <c r="D15" s="135">
        <v>0.3</v>
      </c>
      <c r="E15" s="135">
        <v>0.3</v>
      </c>
      <c r="F15" s="135">
        <v>0.3</v>
      </c>
      <c r="G15" s="135">
        <v>0.3</v>
      </c>
      <c r="H15" s="135">
        <v>0.3</v>
      </c>
      <c r="I15" s="135">
        <v>0.3</v>
      </c>
      <c r="J15" s="135">
        <v>0.3</v>
      </c>
      <c r="K15" s="135">
        <v>0.3</v>
      </c>
      <c r="L15" s="136">
        <v>0.3</v>
      </c>
    </row>
    <row r="16" spans="2:12" s="56" customFormat="1" ht="15.5" x14ac:dyDescent="0.35">
      <c r="B16" s="66"/>
      <c r="L16" s="58"/>
    </row>
    <row r="17" spans="2:14" s="56" customFormat="1" ht="15.5" x14ac:dyDescent="0.35">
      <c r="B17" s="57" t="s">
        <v>71</v>
      </c>
      <c r="C17" s="287"/>
      <c r="D17" s="287"/>
      <c r="E17" s="287"/>
      <c r="F17" s="287"/>
      <c r="G17" s="287"/>
      <c r="H17" s="287"/>
      <c r="I17" s="287"/>
      <c r="J17" s="287"/>
      <c r="K17" s="287"/>
      <c r="L17" s="288"/>
    </row>
    <row r="18" spans="2:14" s="56" customFormat="1" ht="15.5" x14ac:dyDescent="0.35">
      <c r="B18" s="59" t="s">
        <v>72</v>
      </c>
      <c r="C18" s="289">
        <f>C14*C9</f>
        <v>2600625</v>
      </c>
      <c r="D18" s="289">
        <f t="shared" ref="D18:L18" si="7">D14*D9</f>
        <v>4017965.625</v>
      </c>
      <c r="E18" s="289">
        <f t="shared" si="7"/>
        <v>4426499.1600000011</v>
      </c>
      <c r="F18" s="289">
        <f t="shared" si="7"/>
        <v>4831014.3624375006</v>
      </c>
      <c r="G18" s="289">
        <f t="shared" si="7"/>
        <v>5268647.4282112513</v>
      </c>
      <c r="H18" s="289">
        <f t="shared" si="7"/>
        <v>5426706.8510575891</v>
      </c>
      <c r="I18" s="289">
        <f t="shared" si="7"/>
        <v>5604821.7772923019</v>
      </c>
      <c r="J18" s="289">
        <f t="shared" si="7"/>
        <v>5757193.2982869959</v>
      </c>
      <c r="K18" s="289">
        <f t="shared" si="7"/>
        <v>5929909.0972356061</v>
      </c>
      <c r="L18" s="290">
        <f t="shared" si="7"/>
        <v>6107806.3701526746</v>
      </c>
      <c r="N18" s="123"/>
    </row>
    <row r="19" spans="2:14" s="56" customFormat="1" ht="15.5" x14ac:dyDescent="0.35">
      <c r="B19" s="141" t="s">
        <v>73</v>
      </c>
      <c r="C19" s="291">
        <f>SUM(C20:C23)</f>
        <v>1241056.25</v>
      </c>
      <c r="D19" s="291">
        <f t="shared" ref="D19:L19" si="8">SUM(D20:D23)</f>
        <v>1889463.9815000002</v>
      </c>
      <c r="E19" s="291">
        <f t="shared" si="8"/>
        <v>2077541.3737999999</v>
      </c>
      <c r="F19" s="291">
        <f t="shared" si="8"/>
        <v>2263881.5300620999</v>
      </c>
      <c r="G19" s="291">
        <f t="shared" si="8"/>
        <v>2465338.4144862117</v>
      </c>
      <c r="H19" s="291">
        <f t="shared" si="8"/>
        <v>2539298.5669207983</v>
      </c>
      <c r="I19" s="291">
        <f t="shared" si="8"/>
        <v>2622465.4164807848</v>
      </c>
      <c r="J19" s="291">
        <f t="shared" si="8"/>
        <v>2693941.8496462754</v>
      </c>
      <c r="K19" s="291">
        <f t="shared" si="8"/>
        <v>2774760.1051356634</v>
      </c>
      <c r="L19" s="292">
        <f t="shared" si="8"/>
        <v>2858002.9082897333</v>
      </c>
    </row>
    <row r="20" spans="2:14" s="56" customFormat="1" ht="15.5" x14ac:dyDescent="0.35">
      <c r="B20" s="142" t="s">
        <v>74</v>
      </c>
      <c r="C20" s="289">
        <f>'F&amp;B'!I20</f>
        <v>516015.625</v>
      </c>
      <c r="D20" s="289">
        <f>'F&amp;B'!J20</f>
        <v>790558.60375000001</v>
      </c>
      <c r="E20" s="289">
        <f>'F&amp;B'!K20</f>
        <v>869969.82699999993</v>
      </c>
      <c r="F20" s="289">
        <f>'F&amp;B'!L20</f>
        <v>948635.3736902501</v>
      </c>
      <c r="G20" s="289">
        <f>'F&amp;B'!M20</f>
        <v>1033698.9460392811</v>
      </c>
      <c r="H20" s="289">
        <f>'F&amp;B'!N20</f>
        <v>1064709.9144204594</v>
      </c>
      <c r="I20" s="289">
        <f>'F&amp;B'!O20</f>
        <v>1099613.2078311506</v>
      </c>
      <c r="J20" s="289">
        <f>'F&amp;B'!P20</f>
        <v>1129550.7482086658</v>
      </c>
      <c r="K20" s="289">
        <f>'F&amp;B'!Q20</f>
        <v>1163437.2706549256</v>
      </c>
      <c r="L20" s="290">
        <f>'F&amp;B'!R20</f>
        <v>1198340.3887745733</v>
      </c>
    </row>
    <row r="21" spans="2:14" s="56" customFormat="1" ht="15.5" x14ac:dyDescent="0.35">
      <c r="B21" s="142" t="s">
        <v>75</v>
      </c>
      <c r="C21" s="293">
        <f>'F&amp;B'!I45</f>
        <v>422268.75</v>
      </c>
      <c r="D21" s="293">
        <f>'F&amp;B'!J45</f>
        <v>644301.61650000012</v>
      </c>
      <c r="E21" s="293">
        <f>'F&amp;B'!K45</f>
        <v>708640.88580000005</v>
      </c>
      <c r="F21" s="293">
        <f>'F&amp;B'!L45</f>
        <v>772382.38777110004</v>
      </c>
      <c r="G21" s="293">
        <f>'F&amp;B'!M45</f>
        <v>841299.54595683748</v>
      </c>
      <c r="H21" s="293">
        <f>'F&amp;B'!N45</f>
        <v>866538.53233554249</v>
      </c>
      <c r="I21" s="293">
        <f>'F&amp;B'!O45</f>
        <v>894928.46464707528</v>
      </c>
      <c r="J21" s="293">
        <f>'F&amp;B'!P45</f>
        <v>919310.72895477724</v>
      </c>
      <c r="K21" s="293">
        <f>'F&amp;B'!Q45</f>
        <v>946890.05082342029</v>
      </c>
      <c r="L21" s="294">
        <f>'F&amp;B'!R45</f>
        <v>975296.752348123</v>
      </c>
    </row>
    <row r="22" spans="2:14" s="56" customFormat="1" ht="15.5" x14ac:dyDescent="0.35">
      <c r="B22" s="142" t="s">
        <v>76</v>
      </c>
      <c r="C22" s="293">
        <f>'F&amp;B'!I70</f>
        <v>277171.875</v>
      </c>
      <c r="D22" s="293">
        <f>'F&amp;B'!J70</f>
        <v>428235.76125000004</v>
      </c>
      <c r="E22" s="293">
        <f>'F&amp;B'!K70</f>
        <v>471771.62099999998</v>
      </c>
      <c r="F22" s="293">
        <f>'F&amp;B'!L70</f>
        <v>514889.95740075008</v>
      </c>
      <c r="G22" s="293">
        <f>'F&amp;B'!M70</f>
        <v>561526.89695409359</v>
      </c>
      <c r="H22" s="293">
        <f>'F&amp;B'!N70</f>
        <v>578372.70386271644</v>
      </c>
      <c r="I22" s="293">
        <f>'F&amp;B'!O70</f>
        <v>597356.00521141617</v>
      </c>
      <c r="J22" s="293">
        <f>'F&amp;B'!P70</f>
        <v>613595.60152795597</v>
      </c>
      <c r="K22" s="293">
        <f>'F&amp;B'!Q70</f>
        <v>632003.46957379463</v>
      </c>
      <c r="L22" s="294">
        <f>'F&amp;B'!R70</f>
        <v>650963.57366100838</v>
      </c>
    </row>
    <row r="23" spans="2:14" s="56" customFormat="1" ht="15.5" x14ac:dyDescent="0.35">
      <c r="B23" s="142" t="s">
        <v>77</v>
      </c>
      <c r="C23" s="293">
        <f>'F&amp;B'!I95</f>
        <v>25600</v>
      </c>
      <c r="D23" s="293">
        <f>'F&amp;B'!J95</f>
        <v>26368</v>
      </c>
      <c r="E23" s="293">
        <f>'F&amp;B'!K95</f>
        <v>27159.039999999997</v>
      </c>
      <c r="F23" s="293">
        <f>'F&amp;B'!L95</f>
        <v>27973.811200000004</v>
      </c>
      <c r="G23" s="293">
        <f>'F&amp;B'!M95</f>
        <v>28813.025535999994</v>
      </c>
      <c r="H23" s="293">
        <f>'F&amp;B'!N95</f>
        <v>29677.416302079997</v>
      </c>
      <c r="I23" s="293">
        <f>'F&amp;B'!O95</f>
        <v>30567.738791142398</v>
      </c>
      <c r="J23" s="293">
        <f>'F&amp;B'!P95</f>
        <v>31484.770954876672</v>
      </c>
      <c r="K23" s="293">
        <f>'F&amp;B'!Q95</f>
        <v>32429.314083522964</v>
      </c>
      <c r="L23" s="294">
        <f>'F&amp;B'!R95</f>
        <v>33402.193506028663</v>
      </c>
    </row>
    <row r="24" spans="2:14" s="56" customFormat="1" ht="15.5" x14ac:dyDescent="0.35">
      <c r="B24" s="141" t="s">
        <v>79</v>
      </c>
      <c r="C24" s="291">
        <f>SUM(C25:C28)</f>
        <v>392500</v>
      </c>
      <c r="D24" s="291">
        <f t="shared" ref="D24:L24" si="9">SUM(D25:D28)</f>
        <v>402225</v>
      </c>
      <c r="E24" s="291">
        <f t="shared" si="9"/>
        <v>412201.25</v>
      </c>
      <c r="F24" s="291">
        <f t="shared" si="9"/>
        <v>422435.48249999998</v>
      </c>
      <c r="G24" s="291">
        <f t="shared" si="9"/>
        <v>432934.61592499999</v>
      </c>
      <c r="H24" s="291">
        <f t="shared" si="9"/>
        <v>443705.75988225004</v>
      </c>
      <c r="I24" s="291">
        <f t="shared" si="9"/>
        <v>454756.22056981252</v>
      </c>
      <c r="J24" s="291">
        <f t="shared" si="9"/>
        <v>466093.50634084892</v>
      </c>
      <c r="K24" s="291">
        <f t="shared" si="9"/>
        <v>477725.33342817047</v>
      </c>
      <c r="L24" s="292">
        <f t="shared" si="9"/>
        <v>489659.63183372963</v>
      </c>
    </row>
    <row r="25" spans="2:14" s="56" customFormat="1" ht="15.5" x14ac:dyDescent="0.35">
      <c r="B25" s="142" t="s">
        <v>80</v>
      </c>
      <c r="C25" s="289">
        <f>OOD!F7</f>
        <v>200000</v>
      </c>
      <c r="D25" s="289">
        <f>OOD!G7</f>
        <v>204000</v>
      </c>
      <c r="E25" s="289">
        <f>OOD!H7</f>
        <v>208080</v>
      </c>
      <c r="F25" s="289">
        <f>OOD!I7</f>
        <v>212241.6</v>
      </c>
      <c r="G25" s="289">
        <f>OOD!J7</f>
        <v>216486.432</v>
      </c>
      <c r="H25" s="289">
        <f>OOD!K7</f>
        <v>220816.16064000002</v>
      </c>
      <c r="I25" s="289">
        <f>OOD!L7</f>
        <v>225232.48385280001</v>
      </c>
      <c r="J25" s="289">
        <f>OOD!M7</f>
        <v>229737.13352985602</v>
      </c>
      <c r="K25" s="289">
        <f>OOD!N7</f>
        <v>234331.87620045315</v>
      </c>
      <c r="L25" s="290">
        <f>OOD!O7</f>
        <v>239018.51372446222</v>
      </c>
    </row>
    <row r="26" spans="2:14" s="56" customFormat="1" ht="15.5" x14ac:dyDescent="0.35">
      <c r="B26" s="142" t="s">
        <v>81</v>
      </c>
      <c r="C26" s="289">
        <f>OOD!F8</f>
        <v>100000</v>
      </c>
      <c r="D26" s="289">
        <f>OOD!G8</f>
        <v>103000</v>
      </c>
      <c r="E26" s="289">
        <f>OOD!H8</f>
        <v>106090</v>
      </c>
      <c r="F26" s="289">
        <f>OOD!I8</f>
        <v>109272.7</v>
      </c>
      <c r="G26" s="289">
        <f>OOD!J8</f>
        <v>112550.88099999999</v>
      </c>
      <c r="H26" s="289">
        <f>OOD!K8</f>
        <v>115927.40742999999</v>
      </c>
      <c r="I26" s="289">
        <f>OOD!L8</f>
        <v>119405.2296529</v>
      </c>
      <c r="J26" s="289">
        <f>OOD!M8</f>
        <v>122987.386542487</v>
      </c>
      <c r="K26" s="289">
        <f>OOD!N8</f>
        <v>126677.00813876161</v>
      </c>
      <c r="L26" s="290">
        <f>OOD!O8</f>
        <v>130477.31838292447</v>
      </c>
    </row>
    <row r="27" spans="2:14" s="56" customFormat="1" ht="15.5" x14ac:dyDescent="0.35">
      <c r="B27" s="142" t="s">
        <v>82</v>
      </c>
      <c r="C27" s="289">
        <f>OOD!F9</f>
        <v>90000</v>
      </c>
      <c r="D27" s="289">
        <f>OOD!G9</f>
        <v>92700</v>
      </c>
      <c r="E27" s="289">
        <f>OOD!H9</f>
        <v>95481</v>
      </c>
      <c r="F27" s="289">
        <f>OOD!I9</f>
        <v>98345.430000000008</v>
      </c>
      <c r="G27" s="289">
        <f>OOD!J9</f>
        <v>101295.79290000001</v>
      </c>
      <c r="H27" s="289">
        <f>OOD!K9</f>
        <v>104334.66668700002</v>
      </c>
      <c r="I27" s="289">
        <f>OOD!L9</f>
        <v>107464.70668761003</v>
      </c>
      <c r="J27" s="289">
        <f>OOD!M9</f>
        <v>110688.64788823834</v>
      </c>
      <c r="K27" s="289">
        <f>OOD!N9</f>
        <v>114009.30732488549</v>
      </c>
      <c r="L27" s="290">
        <f>OOD!O9</f>
        <v>117429.58654463205</v>
      </c>
    </row>
    <row r="28" spans="2:14" s="56" customFormat="1" ht="16.5" customHeight="1" x14ac:dyDescent="0.35">
      <c r="B28" s="142" t="s">
        <v>78</v>
      </c>
      <c r="C28" s="289">
        <f>OOD!F10</f>
        <v>2500</v>
      </c>
      <c r="D28" s="289">
        <f>OOD!G10</f>
        <v>2525</v>
      </c>
      <c r="E28" s="289">
        <f>OOD!H10</f>
        <v>2550.25</v>
      </c>
      <c r="F28" s="289">
        <f>OOD!I10</f>
        <v>2575.7525000000001</v>
      </c>
      <c r="G28" s="289">
        <f>OOD!J10</f>
        <v>2601.510025</v>
      </c>
      <c r="H28" s="289">
        <f>OOD!K10</f>
        <v>2627.5251252500002</v>
      </c>
      <c r="I28" s="289">
        <f>OOD!L10</f>
        <v>2653.8003765025001</v>
      </c>
      <c r="J28" s="289">
        <f>OOD!M10</f>
        <v>2680.3383802675253</v>
      </c>
      <c r="K28" s="289">
        <f>OOD!N10</f>
        <v>2707.1417640702007</v>
      </c>
      <c r="L28" s="290">
        <f>OOD!O10</f>
        <v>2734.2131817109025</v>
      </c>
    </row>
    <row r="29" spans="2:14" s="56" customFormat="1" ht="15.5" x14ac:dyDescent="0.35">
      <c r="B29" s="76" t="s">
        <v>83</v>
      </c>
      <c r="C29" s="295">
        <f>C24+C19+C18</f>
        <v>4234181.25</v>
      </c>
      <c r="D29" s="295">
        <f t="shared" ref="D29:L29" si="10">D24+D19+D18</f>
        <v>6309654.6064999998</v>
      </c>
      <c r="E29" s="295">
        <f t="shared" si="10"/>
        <v>6916241.7838000013</v>
      </c>
      <c r="F29" s="295">
        <f t="shared" si="10"/>
        <v>7517331.3749996005</v>
      </c>
      <c r="G29" s="295">
        <f t="shared" si="10"/>
        <v>8166920.458622463</v>
      </c>
      <c r="H29" s="295">
        <f t="shared" si="10"/>
        <v>8409711.1778606363</v>
      </c>
      <c r="I29" s="295">
        <f t="shared" si="10"/>
        <v>8682043.4143428989</v>
      </c>
      <c r="J29" s="295">
        <f t="shared" si="10"/>
        <v>8917228.6542741209</v>
      </c>
      <c r="K29" s="295">
        <f t="shared" si="10"/>
        <v>9182394.53579944</v>
      </c>
      <c r="L29" s="296">
        <f t="shared" si="10"/>
        <v>9455468.9102761373</v>
      </c>
    </row>
    <row r="30" spans="2:14" s="56" customFormat="1" ht="15.5" x14ac:dyDescent="0.35">
      <c r="B30" s="66"/>
      <c r="C30" s="287"/>
      <c r="D30" s="287"/>
      <c r="E30" s="287"/>
      <c r="F30" s="287"/>
      <c r="G30" s="287"/>
      <c r="H30" s="287"/>
      <c r="I30" s="287"/>
      <c r="J30" s="287"/>
      <c r="K30" s="287"/>
      <c r="L30" s="288"/>
    </row>
    <row r="31" spans="2:14" s="56" customFormat="1" ht="15.5" x14ac:dyDescent="0.35">
      <c r="B31" s="57" t="s">
        <v>109</v>
      </c>
      <c r="C31" s="287"/>
      <c r="D31" s="287"/>
      <c r="E31" s="287"/>
      <c r="F31" s="287"/>
      <c r="G31" s="287"/>
      <c r="H31" s="287"/>
      <c r="I31" s="287"/>
      <c r="J31" s="287"/>
      <c r="K31" s="287"/>
      <c r="L31" s="288"/>
    </row>
    <row r="32" spans="2:14" s="56" customFormat="1" ht="15.5" x14ac:dyDescent="0.35">
      <c r="B32" s="66" t="s">
        <v>110</v>
      </c>
      <c r="C32" s="289">
        <f t="shared" ref="C32:L32" si="11">C18*C15</f>
        <v>780187.5</v>
      </c>
      <c r="D32" s="289">
        <f t="shared" si="11"/>
        <v>1205389.6875</v>
      </c>
      <c r="E32" s="289">
        <f t="shared" si="11"/>
        <v>1327949.7480000004</v>
      </c>
      <c r="F32" s="289">
        <f t="shared" si="11"/>
        <v>1449304.3087312502</v>
      </c>
      <c r="G32" s="289">
        <f t="shared" si="11"/>
        <v>1580594.2284633752</v>
      </c>
      <c r="H32" s="289">
        <f t="shared" si="11"/>
        <v>1628012.0553172766</v>
      </c>
      <c r="I32" s="289">
        <f t="shared" si="11"/>
        <v>1681446.5331876904</v>
      </c>
      <c r="J32" s="289">
        <f t="shared" si="11"/>
        <v>1727157.9894860988</v>
      </c>
      <c r="K32" s="289">
        <f t="shared" si="11"/>
        <v>1778972.7291706817</v>
      </c>
      <c r="L32" s="290">
        <f t="shared" si="11"/>
        <v>1832341.9110458023</v>
      </c>
    </row>
    <row r="33" spans="2:12" s="56" customFormat="1" ht="15.5" x14ac:dyDescent="0.35">
      <c r="B33" s="143" t="s">
        <v>111</v>
      </c>
      <c r="C33" s="297">
        <f>SUM(C34:C37)</f>
        <v>930652.375</v>
      </c>
      <c r="D33" s="297">
        <f t="shared" ref="D33:L33" si="12">SUM(D34:D37)</f>
        <v>1417863.3415300001</v>
      </c>
      <c r="E33" s="297">
        <f t="shared" si="12"/>
        <v>1559139.8453560001</v>
      </c>
      <c r="F33" s="297">
        <f t="shared" si="12"/>
        <v>1699108.9959767023</v>
      </c>
      <c r="G33" s="297">
        <f t="shared" si="12"/>
        <v>1850436.2881337267</v>
      </c>
      <c r="H33" s="297">
        <f t="shared" si="12"/>
        <v>1905949.3767777381</v>
      </c>
      <c r="I33" s="297">
        <f t="shared" si="12"/>
        <v>1968379.1747057138</v>
      </c>
      <c r="J33" s="297">
        <f t="shared" si="12"/>
        <v>2022021.6938235029</v>
      </c>
      <c r="K33" s="297">
        <f t="shared" si="12"/>
        <v>2082682.3446382077</v>
      </c>
      <c r="L33" s="298">
        <f t="shared" si="12"/>
        <v>2145162.8149773534</v>
      </c>
    </row>
    <row r="34" spans="2:12" s="56" customFormat="1" ht="15.5" x14ac:dyDescent="0.35">
      <c r="B34" s="142" t="s">
        <v>74</v>
      </c>
      <c r="C34" s="299">
        <f>'F&amp;B'!I26</f>
        <v>423132.8125</v>
      </c>
      <c r="D34" s="299">
        <f>'F&amp;B'!J26</f>
        <v>648258.05507500004</v>
      </c>
      <c r="E34" s="299">
        <f>'F&amp;B'!K26</f>
        <v>713375.25813999993</v>
      </c>
      <c r="F34" s="299">
        <f>'F&amp;B'!L26</f>
        <v>777881.00642600504</v>
      </c>
      <c r="G34" s="299">
        <f>'F&amp;B'!M26</f>
        <v>847633.13575221051</v>
      </c>
      <c r="H34" s="299">
        <f>'F&amp;B'!N26</f>
        <v>873062.12982477678</v>
      </c>
      <c r="I34" s="299">
        <f>'F&amp;B'!O26</f>
        <v>901682.83042154345</v>
      </c>
      <c r="J34" s="299">
        <f>'F&amp;B'!P26</f>
        <v>926231.61353110592</v>
      </c>
      <c r="K34" s="299">
        <f>'F&amp;B'!Q26</f>
        <v>954018.56193703902</v>
      </c>
      <c r="L34" s="300">
        <f>'F&amp;B'!R26</f>
        <v>982639.11879515008</v>
      </c>
    </row>
    <row r="35" spans="2:12" s="56" customFormat="1" ht="15.5" x14ac:dyDescent="0.35">
      <c r="B35" s="142" t="s">
        <v>75</v>
      </c>
      <c r="C35" s="299">
        <f>'F&amp;B'!I51</f>
        <v>261806.625</v>
      </c>
      <c r="D35" s="299">
        <f>'F&amp;B'!J51</f>
        <v>399467.0022300001</v>
      </c>
      <c r="E35" s="299">
        <f>'F&amp;B'!K51</f>
        <v>439357.34919600002</v>
      </c>
      <c r="F35" s="299">
        <f>'F&amp;B'!L51</f>
        <v>478877.08041808201</v>
      </c>
      <c r="G35" s="299">
        <f>'F&amp;B'!M51</f>
        <v>521605.71849323926</v>
      </c>
      <c r="H35" s="299">
        <f>'F&amp;B'!N51</f>
        <v>537253.89004803635</v>
      </c>
      <c r="I35" s="299">
        <f>'F&amp;B'!O51</f>
        <v>554855.64808118658</v>
      </c>
      <c r="J35" s="299">
        <f>'F&amp;B'!P51</f>
        <v>569972.65195196192</v>
      </c>
      <c r="K35" s="299">
        <f>'F&amp;B'!Q51</f>
        <v>587071.83151052054</v>
      </c>
      <c r="L35" s="300">
        <f>'F&amp;B'!R51</f>
        <v>604683.98645583622</v>
      </c>
    </row>
    <row r="36" spans="2:12" s="56" customFormat="1" ht="15.5" x14ac:dyDescent="0.35">
      <c r="B36" s="142" t="s">
        <v>76</v>
      </c>
      <c r="C36" s="299">
        <f>'F&amp;B'!I76</f>
        <v>227280.9375</v>
      </c>
      <c r="D36" s="299">
        <f>'F&amp;B'!J76</f>
        <v>351153.32422500005</v>
      </c>
      <c r="E36" s="299">
        <f>'F&amp;B'!K76</f>
        <v>386852.72921999998</v>
      </c>
      <c r="F36" s="299">
        <f>'F&amp;B'!L76</f>
        <v>422209.76506861509</v>
      </c>
      <c r="G36" s="299">
        <f>'F&amp;B'!M76</f>
        <v>460452.05550235673</v>
      </c>
      <c r="H36" s="299">
        <f>'F&amp;B'!N76</f>
        <v>474265.6171674275</v>
      </c>
      <c r="I36" s="299">
        <f>'F&amp;B'!O76</f>
        <v>489831.92427336122</v>
      </c>
      <c r="J36" s="299">
        <f>'F&amp;B'!P76</f>
        <v>503148.39325292391</v>
      </c>
      <c r="K36" s="299">
        <f>'F&amp;B'!Q76</f>
        <v>518242.84505051159</v>
      </c>
      <c r="L36" s="300">
        <f>'F&amp;B'!R76</f>
        <v>533790.13040202681</v>
      </c>
    </row>
    <row r="37" spans="2:12" s="56" customFormat="1" ht="15.5" x14ac:dyDescent="0.35">
      <c r="B37" s="142" t="s">
        <v>77</v>
      </c>
      <c r="C37" s="299">
        <f>'F&amp;B'!I101</f>
        <v>18432</v>
      </c>
      <c r="D37" s="299">
        <f>'F&amp;B'!J101</f>
        <v>18984.96</v>
      </c>
      <c r="E37" s="299">
        <f>'F&amp;B'!K101</f>
        <v>19554.508799999996</v>
      </c>
      <c r="F37" s="299">
        <f>'F&amp;B'!L101</f>
        <v>20141.144064</v>
      </c>
      <c r="G37" s="299">
        <f>'F&amp;B'!M101</f>
        <v>20745.378385919994</v>
      </c>
      <c r="H37" s="299">
        <f>'F&amp;B'!N101</f>
        <v>21367.739737497595</v>
      </c>
      <c r="I37" s="299">
        <f>'F&amp;B'!O101</f>
        <v>22008.771929622526</v>
      </c>
      <c r="J37" s="299">
        <f>'F&amp;B'!P101</f>
        <v>22669.035087511202</v>
      </c>
      <c r="K37" s="299">
        <f>'F&amp;B'!Q101</f>
        <v>23349.106140136533</v>
      </c>
      <c r="L37" s="300">
        <f>'F&amp;B'!R101</f>
        <v>24049.579324340637</v>
      </c>
    </row>
    <row r="38" spans="2:12" s="56" customFormat="1" ht="15.5" x14ac:dyDescent="0.35">
      <c r="B38" s="143" t="s">
        <v>79</v>
      </c>
      <c r="C38" s="301">
        <f>SUM(C39:C42)</f>
        <v>104050</v>
      </c>
      <c r="D38" s="301">
        <f t="shared" ref="D38:L38" si="13">SUM(D39:D42)</f>
        <v>106970.5</v>
      </c>
      <c r="E38" s="301">
        <f t="shared" si="13"/>
        <v>109974.60500000001</v>
      </c>
      <c r="F38" s="301">
        <f t="shared" si="13"/>
        <v>113064.74305</v>
      </c>
      <c r="G38" s="301">
        <f t="shared" si="13"/>
        <v>116243.41344050001</v>
      </c>
      <c r="H38" s="301">
        <f t="shared" si="13"/>
        <v>119513.188807705</v>
      </c>
      <c r="I38" s="301">
        <f t="shared" si="13"/>
        <v>122876.71730124606</v>
      </c>
      <c r="J38" s="301">
        <f t="shared" si="13"/>
        <v>126336.72481628005</v>
      </c>
      <c r="K38" s="301">
        <f t="shared" si="13"/>
        <v>129896.0172918865</v>
      </c>
      <c r="L38" s="302">
        <f t="shared" si="13"/>
        <v>133557.48307773698</v>
      </c>
    </row>
    <row r="39" spans="2:12" s="56" customFormat="1" ht="15.5" x14ac:dyDescent="0.35">
      <c r="B39" s="142" t="s">
        <v>80</v>
      </c>
      <c r="C39" s="293">
        <f>OOD!F16</f>
        <v>20000</v>
      </c>
      <c r="D39" s="293">
        <f>OOD!G16</f>
        <v>20400</v>
      </c>
      <c r="E39" s="293">
        <f>OOD!H16</f>
        <v>20808</v>
      </c>
      <c r="F39" s="293">
        <f>OOD!I16</f>
        <v>21224.160000000003</v>
      </c>
      <c r="G39" s="293">
        <f>OOD!J16</f>
        <v>21648.643200000002</v>
      </c>
      <c r="H39" s="293">
        <f>OOD!K16</f>
        <v>22081.616064000002</v>
      </c>
      <c r="I39" s="293">
        <f>OOD!L16</f>
        <v>22523.248385280003</v>
      </c>
      <c r="J39" s="293">
        <f>OOD!M16</f>
        <v>22973.713352985604</v>
      </c>
      <c r="K39" s="293">
        <f>OOD!N16</f>
        <v>23433.187620045315</v>
      </c>
      <c r="L39" s="294">
        <f>OOD!O16</f>
        <v>23901.851372446225</v>
      </c>
    </row>
    <row r="40" spans="2:12" s="56" customFormat="1" ht="15.5" x14ac:dyDescent="0.35">
      <c r="B40" s="142" t="s">
        <v>81</v>
      </c>
      <c r="C40" s="293">
        <f>OOD!F17</f>
        <v>30000</v>
      </c>
      <c r="D40" s="293">
        <f>OOD!G17</f>
        <v>30900</v>
      </c>
      <c r="E40" s="293">
        <f>OOD!H17</f>
        <v>31827</v>
      </c>
      <c r="F40" s="293">
        <f>OOD!I17</f>
        <v>32781.81</v>
      </c>
      <c r="G40" s="293">
        <f>OOD!J17</f>
        <v>33765.264299999995</v>
      </c>
      <c r="H40" s="293">
        <f>OOD!K17</f>
        <v>34778.222228999999</v>
      </c>
      <c r="I40" s="293">
        <f>OOD!L17</f>
        <v>35821.568895869998</v>
      </c>
      <c r="J40" s="293">
        <f>OOD!M17</f>
        <v>36896.215962746101</v>
      </c>
      <c r="K40" s="293">
        <f>OOD!N17</f>
        <v>38003.102441628478</v>
      </c>
      <c r="L40" s="294">
        <f>OOD!O17</f>
        <v>39143.195514877341</v>
      </c>
    </row>
    <row r="41" spans="2:12" s="56" customFormat="1" ht="15.5" x14ac:dyDescent="0.35">
      <c r="B41" s="142" t="s">
        <v>82</v>
      </c>
      <c r="C41" s="293">
        <f>OOD!F18</f>
        <v>54000</v>
      </c>
      <c r="D41" s="293">
        <f>OOD!G18</f>
        <v>55620</v>
      </c>
      <c r="E41" s="293">
        <f>OOD!H18</f>
        <v>57288.6</v>
      </c>
      <c r="F41" s="293">
        <f>OOD!I18</f>
        <v>59007.258000000002</v>
      </c>
      <c r="G41" s="293">
        <f>OOD!J18</f>
        <v>60777.475740000009</v>
      </c>
      <c r="H41" s="293">
        <f>OOD!K18</f>
        <v>62600.800012200008</v>
      </c>
      <c r="I41" s="293">
        <f>OOD!L18</f>
        <v>64478.824012566016</v>
      </c>
      <c r="J41" s="293">
        <f>OOD!M18</f>
        <v>66413.188732943003</v>
      </c>
      <c r="K41" s="293">
        <f>OOD!N18</f>
        <v>68405.584394931298</v>
      </c>
      <c r="L41" s="294">
        <f>OOD!O18</f>
        <v>70457.751926779223</v>
      </c>
    </row>
    <row r="42" spans="2:12" s="56" customFormat="1" ht="15.5" x14ac:dyDescent="0.35">
      <c r="B42" s="142" t="s">
        <v>78</v>
      </c>
      <c r="C42" s="293">
        <f>OOD!F19</f>
        <v>50</v>
      </c>
      <c r="D42" s="293">
        <f>OOD!G19</f>
        <v>50.5</v>
      </c>
      <c r="E42" s="293">
        <f>OOD!H19</f>
        <v>51.005000000000003</v>
      </c>
      <c r="F42" s="293">
        <f>OOD!I19</f>
        <v>51.515050000000002</v>
      </c>
      <c r="G42" s="293">
        <f>OOD!J19</f>
        <v>52.030200499999999</v>
      </c>
      <c r="H42" s="293">
        <f>OOD!K19</f>
        <v>52.550502505000004</v>
      </c>
      <c r="I42" s="293">
        <f>OOD!L19</f>
        <v>53.076007530049999</v>
      </c>
      <c r="J42" s="293">
        <f>OOD!M19</f>
        <v>53.606767605350505</v>
      </c>
      <c r="K42" s="293">
        <f>OOD!N19</f>
        <v>54.142835281404018</v>
      </c>
      <c r="L42" s="294">
        <f>OOD!O19</f>
        <v>54.684263634218048</v>
      </c>
    </row>
    <row r="43" spans="2:12" s="56" customFormat="1" ht="15.5" x14ac:dyDescent="0.35">
      <c r="B43" s="76" t="s">
        <v>119</v>
      </c>
      <c r="C43" s="303">
        <f>C32+C33+C38</f>
        <v>1814889.875</v>
      </c>
      <c r="D43" s="303">
        <f t="shared" ref="D43:K43" si="14">D32+D33+D38</f>
        <v>2730223.5290299999</v>
      </c>
      <c r="E43" s="303">
        <f t="shared" si="14"/>
        <v>2997064.1983560002</v>
      </c>
      <c r="F43" s="303">
        <f t="shared" si="14"/>
        <v>3261478.0477579529</v>
      </c>
      <c r="G43" s="303">
        <f t="shared" si="14"/>
        <v>3547273.9300376019</v>
      </c>
      <c r="H43" s="303">
        <f t="shared" si="14"/>
        <v>3653474.6209027194</v>
      </c>
      <c r="I43" s="303">
        <f t="shared" si="14"/>
        <v>3772702.4251946504</v>
      </c>
      <c r="J43" s="303">
        <f t="shared" si="14"/>
        <v>3875516.4081258816</v>
      </c>
      <c r="K43" s="303">
        <f t="shared" si="14"/>
        <v>3991551.0911007756</v>
      </c>
      <c r="L43" s="304">
        <f>L32+L33+L38</f>
        <v>4111062.2091008928</v>
      </c>
    </row>
    <row r="44" spans="2:12" s="56" customFormat="1" ht="15.5" x14ac:dyDescent="0.35">
      <c r="B44" s="66"/>
      <c r="C44" s="287"/>
      <c r="D44" s="287"/>
      <c r="E44" s="287"/>
      <c r="F44" s="287"/>
      <c r="G44" s="287"/>
      <c r="H44" s="287"/>
      <c r="I44" s="287"/>
      <c r="J44" s="287"/>
      <c r="K44" s="287"/>
      <c r="L44" s="288"/>
    </row>
    <row r="45" spans="2:12" s="56" customFormat="1" ht="15.5" x14ac:dyDescent="0.35">
      <c r="B45" s="66" t="s">
        <v>120</v>
      </c>
      <c r="C45" s="287"/>
      <c r="D45" s="287"/>
      <c r="E45" s="287"/>
      <c r="F45" s="287"/>
      <c r="G45" s="287"/>
      <c r="H45" s="287"/>
      <c r="I45" s="287"/>
      <c r="J45" s="287"/>
      <c r="K45" s="287"/>
      <c r="L45" s="288"/>
    </row>
    <row r="46" spans="2:12" s="56" customFormat="1" ht="15.5" x14ac:dyDescent="0.35">
      <c r="B46" s="66" t="s">
        <v>121</v>
      </c>
      <c r="C46" s="289">
        <f>C18-C32</f>
        <v>1820437.5</v>
      </c>
      <c r="D46" s="289">
        <f t="shared" ref="D46:L46" si="15">D18-D32</f>
        <v>2812575.9375</v>
      </c>
      <c r="E46" s="289">
        <f t="shared" si="15"/>
        <v>3098549.4120000005</v>
      </c>
      <c r="F46" s="289">
        <f t="shared" si="15"/>
        <v>3381710.0537062502</v>
      </c>
      <c r="G46" s="289">
        <f t="shared" si="15"/>
        <v>3688053.1997478763</v>
      </c>
      <c r="H46" s="289">
        <f t="shared" si="15"/>
        <v>3798694.7957403124</v>
      </c>
      <c r="I46" s="289">
        <f t="shared" si="15"/>
        <v>3923375.2441046117</v>
      </c>
      <c r="J46" s="289">
        <f t="shared" si="15"/>
        <v>4030035.3088008971</v>
      </c>
      <c r="K46" s="289">
        <f t="shared" si="15"/>
        <v>4150936.3680649241</v>
      </c>
      <c r="L46" s="290">
        <f t="shared" si="15"/>
        <v>4275464.4591068719</v>
      </c>
    </row>
    <row r="47" spans="2:12" s="56" customFormat="1" ht="15.5" x14ac:dyDescent="0.35">
      <c r="B47" s="143" t="s">
        <v>122</v>
      </c>
      <c r="C47" s="291">
        <f t="shared" ref="C47:L47" si="16">C19-C33</f>
        <v>310403.875</v>
      </c>
      <c r="D47" s="291">
        <f t="shared" si="16"/>
        <v>471600.63997000013</v>
      </c>
      <c r="E47" s="291">
        <f t="shared" si="16"/>
        <v>518401.52844399982</v>
      </c>
      <c r="F47" s="291">
        <f t="shared" si="16"/>
        <v>564772.53408539761</v>
      </c>
      <c r="G47" s="291">
        <f t="shared" si="16"/>
        <v>614902.12635248504</v>
      </c>
      <c r="H47" s="291">
        <f t="shared" si="16"/>
        <v>633349.19014306017</v>
      </c>
      <c r="I47" s="291">
        <f t="shared" si="16"/>
        <v>654086.24177507102</v>
      </c>
      <c r="J47" s="291">
        <f t="shared" si="16"/>
        <v>671920.15582277253</v>
      </c>
      <c r="K47" s="291">
        <f t="shared" si="16"/>
        <v>692077.76049745572</v>
      </c>
      <c r="L47" s="292">
        <f t="shared" si="16"/>
        <v>712840.0933123799</v>
      </c>
    </row>
    <row r="48" spans="2:12" s="56" customFormat="1" ht="15.5" x14ac:dyDescent="0.35">
      <c r="B48" s="142" t="s">
        <v>74</v>
      </c>
      <c r="C48" s="289">
        <f t="shared" ref="C48:L48" si="17">C20-C34</f>
        <v>92882.8125</v>
      </c>
      <c r="D48" s="289">
        <f t="shared" si="17"/>
        <v>142300.54867499997</v>
      </c>
      <c r="E48" s="289">
        <f t="shared" si="17"/>
        <v>156594.56886</v>
      </c>
      <c r="F48" s="289">
        <f t="shared" si="17"/>
        <v>170754.36726424505</v>
      </c>
      <c r="G48" s="289">
        <f t="shared" si="17"/>
        <v>186065.81028707058</v>
      </c>
      <c r="H48" s="289">
        <f t="shared" si="17"/>
        <v>191647.78459568263</v>
      </c>
      <c r="I48" s="289">
        <f t="shared" si="17"/>
        <v>197930.37740960717</v>
      </c>
      <c r="J48" s="289">
        <f t="shared" si="17"/>
        <v>203319.13467755984</v>
      </c>
      <c r="K48" s="289">
        <f t="shared" si="17"/>
        <v>209418.70871788659</v>
      </c>
      <c r="L48" s="290">
        <f t="shared" si="17"/>
        <v>215701.26997942326</v>
      </c>
    </row>
    <row r="49" spans="2:12" s="56" customFormat="1" ht="15.5" x14ac:dyDescent="0.35">
      <c r="B49" s="142" t="s">
        <v>75</v>
      </c>
      <c r="C49" s="289">
        <f t="shared" ref="C49:L49" si="18">C21-C35</f>
        <v>160462.125</v>
      </c>
      <c r="D49" s="289">
        <f t="shared" si="18"/>
        <v>244834.61427000002</v>
      </c>
      <c r="E49" s="289">
        <f t="shared" si="18"/>
        <v>269283.53660400002</v>
      </c>
      <c r="F49" s="289">
        <f t="shared" si="18"/>
        <v>293505.30735301803</v>
      </c>
      <c r="G49" s="289">
        <f t="shared" si="18"/>
        <v>319693.82746359822</v>
      </c>
      <c r="H49" s="289">
        <f t="shared" si="18"/>
        <v>329284.64228750614</v>
      </c>
      <c r="I49" s="289">
        <f t="shared" si="18"/>
        <v>340072.8165658887</v>
      </c>
      <c r="J49" s="289">
        <f t="shared" si="18"/>
        <v>349338.07700281532</v>
      </c>
      <c r="K49" s="289">
        <f t="shared" si="18"/>
        <v>359818.21931289975</v>
      </c>
      <c r="L49" s="290">
        <f t="shared" si="18"/>
        <v>370612.76589228678</v>
      </c>
    </row>
    <row r="50" spans="2:12" s="56" customFormat="1" ht="15.5" x14ac:dyDescent="0.35">
      <c r="B50" s="142" t="s">
        <v>76</v>
      </c>
      <c r="C50" s="289">
        <f t="shared" ref="C50:L50" si="19">C22-C36</f>
        <v>49890.9375</v>
      </c>
      <c r="D50" s="289">
        <f t="shared" si="19"/>
        <v>77082.437024999992</v>
      </c>
      <c r="E50" s="289">
        <f t="shared" si="19"/>
        <v>84918.891780000005</v>
      </c>
      <c r="F50" s="289">
        <f t="shared" si="19"/>
        <v>92680.19233213499</v>
      </c>
      <c r="G50" s="289">
        <f t="shared" si="19"/>
        <v>101074.84145173687</v>
      </c>
      <c r="H50" s="289">
        <f t="shared" si="19"/>
        <v>104107.08669528895</v>
      </c>
      <c r="I50" s="289">
        <f t="shared" si="19"/>
        <v>107524.08093805495</v>
      </c>
      <c r="J50" s="289">
        <f t="shared" si="19"/>
        <v>110447.20827503206</v>
      </c>
      <c r="K50" s="289">
        <f t="shared" si="19"/>
        <v>113760.62452328304</v>
      </c>
      <c r="L50" s="290">
        <f t="shared" si="19"/>
        <v>117173.44325898157</v>
      </c>
    </row>
    <row r="51" spans="2:12" s="56" customFormat="1" ht="15.5" x14ac:dyDescent="0.35">
      <c r="B51" s="142" t="s">
        <v>77</v>
      </c>
      <c r="C51" s="289">
        <f t="shared" ref="C51:L51" si="20">C23-C37</f>
        <v>7168</v>
      </c>
      <c r="D51" s="289">
        <f t="shared" si="20"/>
        <v>7383.0400000000009</v>
      </c>
      <c r="E51" s="289">
        <f t="shared" si="20"/>
        <v>7604.5312000000013</v>
      </c>
      <c r="F51" s="289">
        <f t="shared" si="20"/>
        <v>7832.6671360000037</v>
      </c>
      <c r="G51" s="289">
        <f t="shared" si="20"/>
        <v>8067.6471500799998</v>
      </c>
      <c r="H51" s="289">
        <f t="shared" si="20"/>
        <v>8309.6765645824016</v>
      </c>
      <c r="I51" s="289">
        <f t="shared" si="20"/>
        <v>8558.9668615198716</v>
      </c>
      <c r="J51" s="289">
        <f t="shared" si="20"/>
        <v>8815.7358673654708</v>
      </c>
      <c r="K51" s="289">
        <f t="shared" si="20"/>
        <v>9080.207943386431</v>
      </c>
      <c r="L51" s="290">
        <f t="shared" si="20"/>
        <v>9352.6141816880263</v>
      </c>
    </row>
    <row r="52" spans="2:12" s="56" customFormat="1" ht="15.5" x14ac:dyDescent="0.35">
      <c r="B52" s="143" t="s">
        <v>79</v>
      </c>
      <c r="C52" s="291">
        <f t="shared" ref="C52:L52" si="21">C24-C38</f>
        <v>288450</v>
      </c>
      <c r="D52" s="291">
        <f t="shared" si="21"/>
        <v>295254.5</v>
      </c>
      <c r="E52" s="291">
        <f t="shared" si="21"/>
        <v>302226.64500000002</v>
      </c>
      <c r="F52" s="291">
        <f t="shared" si="21"/>
        <v>309370.73944999999</v>
      </c>
      <c r="G52" s="291">
        <f t="shared" si="21"/>
        <v>316691.20248450001</v>
      </c>
      <c r="H52" s="291">
        <f t="shared" si="21"/>
        <v>324192.57107454503</v>
      </c>
      <c r="I52" s="291">
        <f t="shared" si="21"/>
        <v>331879.50326856645</v>
      </c>
      <c r="J52" s="291">
        <f t="shared" si="21"/>
        <v>339756.78152456885</v>
      </c>
      <c r="K52" s="291">
        <f t="shared" si="21"/>
        <v>347829.31613628397</v>
      </c>
      <c r="L52" s="292">
        <f t="shared" si="21"/>
        <v>356102.14875599265</v>
      </c>
    </row>
    <row r="53" spans="2:12" s="56" customFormat="1" ht="15.5" x14ac:dyDescent="0.35">
      <c r="B53" s="142" t="s">
        <v>80</v>
      </c>
      <c r="C53" s="289">
        <f t="shared" ref="C53:L53" si="22">C25-C39</f>
        <v>180000</v>
      </c>
      <c r="D53" s="289">
        <f t="shared" si="22"/>
        <v>183600</v>
      </c>
      <c r="E53" s="289">
        <f t="shared" si="22"/>
        <v>187272</v>
      </c>
      <c r="F53" s="289">
        <f t="shared" si="22"/>
        <v>191017.44</v>
      </c>
      <c r="G53" s="289">
        <f t="shared" si="22"/>
        <v>194837.78880000001</v>
      </c>
      <c r="H53" s="289">
        <f t="shared" si="22"/>
        <v>198734.54457600001</v>
      </c>
      <c r="I53" s="289">
        <f t="shared" si="22"/>
        <v>202709.23546752002</v>
      </c>
      <c r="J53" s="289">
        <f t="shared" si="22"/>
        <v>206763.42017687042</v>
      </c>
      <c r="K53" s="289">
        <f t="shared" si="22"/>
        <v>210898.68858040782</v>
      </c>
      <c r="L53" s="290">
        <f t="shared" si="22"/>
        <v>215116.66235201599</v>
      </c>
    </row>
    <row r="54" spans="2:12" s="56" customFormat="1" ht="15.5" x14ac:dyDescent="0.35">
      <c r="B54" s="142" t="s">
        <v>81</v>
      </c>
      <c r="C54" s="289">
        <f t="shared" ref="C54:L54" si="23">C26-C40</f>
        <v>70000</v>
      </c>
      <c r="D54" s="289">
        <f t="shared" si="23"/>
        <v>72100</v>
      </c>
      <c r="E54" s="289">
        <f t="shared" si="23"/>
        <v>74263</v>
      </c>
      <c r="F54" s="289">
        <f t="shared" si="23"/>
        <v>76490.89</v>
      </c>
      <c r="G54" s="289">
        <f t="shared" si="23"/>
        <v>78785.616699999999</v>
      </c>
      <c r="H54" s="289">
        <f t="shared" si="23"/>
        <v>81149.185200999986</v>
      </c>
      <c r="I54" s="289">
        <f t="shared" si="23"/>
        <v>83583.660757030011</v>
      </c>
      <c r="J54" s="289">
        <f t="shared" si="23"/>
        <v>86091.170579740894</v>
      </c>
      <c r="K54" s="289">
        <f t="shared" si="23"/>
        <v>88673.90569713313</v>
      </c>
      <c r="L54" s="290">
        <f t="shared" si="23"/>
        <v>91334.122868047125</v>
      </c>
    </row>
    <row r="55" spans="2:12" s="56" customFormat="1" ht="15.5" x14ac:dyDescent="0.35">
      <c r="B55" s="142" t="s">
        <v>82</v>
      </c>
      <c r="C55" s="289">
        <f t="shared" ref="C55:L55" si="24">C27-C41</f>
        <v>36000</v>
      </c>
      <c r="D55" s="289">
        <f t="shared" si="24"/>
        <v>37080</v>
      </c>
      <c r="E55" s="289">
        <f t="shared" si="24"/>
        <v>38192.400000000001</v>
      </c>
      <c r="F55" s="289">
        <f t="shared" si="24"/>
        <v>39338.172000000006</v>
      </c>
      <c r="G55" s="289">
        <f t="shared" si="24"/>
        <v>40518.317160000006</v>
      </c>
      <c r="H55" s="289">
        <f t="shared" si="24"/>
        <v>41733.866674800011</v>
      </c>
      <c r="I55" s="289">
        <f t="shared" si="24"/>
        <v>42985.882675044013</v>
      </c>
      <c r="J55" s="289">
        <f t="shared" si="24"/>
        <v>44275.459155295335</v>
      </c>
      <c r="K55" s="289">
        <f t="shared" si="24"/>
        <v>45603.722929954194</v>
      </c>
      <c r="L55" s="290">
        <f t="shared" si="24"/>
        <v>46971.83461785283</v>
      </c>
    </row>
    <row r="56" spans="2:12" s="56" customFormat="1" ht="15.5" x14ac:dyDescent="0.35">
      <c r="B56" s="142" t="s">
        <v>78</v>
      </c>
      <c r="C56" s="289">
        <f t="shared" ref="C56:L56" si="25">C28-C42</f>
        <v>2450</v>
      </c>
      <c r="D56" s="289">
        <f t="shared" si="25"/>
        <v>2474.5</v>
      </c>
      <c r="E56" s="289">
        <f t="shared" si="25"/>
        <v>2499.2449999999999</v>
      </c>
      <c r="F56" s="289">
        <f t="shared" si="25"/>
        <v>2524.2374500000001</v>
      </c>
      <c r="G56" s="289">
        <f t="shared" si="25"/>
        <v>2549.4798245000002</v>
      </c>
      <c r="H56" s="289">
        <f t="shared" si="25"/>
        <v>2574.974622745</v>
      </c>
      <c r="I56" s="289">
        <f t="shared" si="25"/>
        <v>2600.7243689724501</v>
      </c>
      <c r="J56" s="289">
        <f t="shared" si="25"/>
        <v>2626.7316126621749</v>
      </c>
      <c r="K56" s="289">
        <f t="shared" si="25"/>
        <v>2652.9989287887965</v>
      </c>
      <c r="L56" s="290">
        <f t="shared" si="25"/>
        <v>2679.5289180766845</v>
      </c>
    </row>
    <row r="57" spans="2:12" s="56" customFormat="1" ht="15.5" x14ac:dyDescent="0.35">
      <c r="B57" s="76" t="s">
        <v>123</v>
      </c>
      <c r="C57" s="295">
        <f t="shared" ref="C57:L57" si="26">C29-C43</f>
        <v>2419291.375</v>
      </c>
      <c r="D57" s="295">
        <f t="shared" si="26"/>
        <v>3579431.0774699999</v>
      </c>
      <c r="E57" s="295">
        <f t="shared" si="26"/>
        <v>3919177.585444001</v>
      </c>
      <c r="F57" s="295">
        <f t="shared" si="26"/>
        <v>4255853.327241648</v>
      </c>
      <c r="G57" s="295">
        <f t="shared" si="26"/>
        <v>4619646.5285848612</v>
      </c>
      <c r="H57" s="295">
        <f t="shared" si="26"/>
        <v>4756236.5569579173</v>
      </c>
      <c r="I57" s="295">
        <f t="shared" si="26"/>
        <v>4909340.989148248</v>
      </c>
      <c r="J57" s="295">
        <f t="shared" si="26"/>
        <v>5041712.2461482398</v>
      </c>
      <c r="K57" s="295">
        <f t="shared" si="26"/>
        <v>5190843.4446986644</v>
      </c>
      <c r="L57" s="296">
        <f t="shared" si="26"/>
        <v>5344406.7011752445</v>
      </c>
    </row>
    <row r="58" spans="2:12" s="56" customFormat="1" ht="15.5" x14ac:dyDescent="0.35">
      <c r="B58" s="66"/>
      <c r="C58" s="287"/>
      <c r="D58" s="287"/>
      <c r="E58" s="287"/>
      <c r="F58" s="287"/>
      <c r="G58" s="287"/>
      <c r="H58" s="287"/>
      <c r="I58" s="287"/>
      <c r="J58" s="287"/>
      <c r="K58" s="287"/>
      <c r="L58" s="288"/>
    </row>
    <row r="59" spans="2:12" s="56" customFormat="1" ht="15.5" x14ac:dyDescent="0.35">
      <c r="B59" s="57" t="s">
        <v>98</v>
      </c>
      <c r="C59" s="287"/>
      <c r="D59" s="287"/>
      <c r="E59" s="287"/>
      <c r="F59" s="287"/>
      <c r="G59" s="287"/>
      <c r="H59" s="287"/>
      <c r="I59" s="287"/>
      <c r="J59" s="287"/>
      <c r="K59" s="287"/>
      <c r="L59" s="288"/>
    </row>
    <row r="60" spans="2:12" s="56" customFormat="1" ht="15.5" x14ac:dyDescent="0.35">
      <c r="B60" s="59" t="s">
        <v>148</v>
      </c>
      <c r="C60" s="293">
        <f>'Other Expenses'!F7</f>
        <v>12000</v>
      </c>
      <c r="D60" s="293">
        <f>'Other Expenses'!G7</f>
        <v>12120</v>
      </c>
      <c r="E60" s="293">
        <f>'Other Expenses'!H7</f>
        <v>12241.2</v>
      </c>
      <c r="F60" s="293">
        <f>'Other Expenses'!I7</f>
        <v>12363.612000000001</v>
      </c>
      <c r="G60" s="293">
        <f>'Other Expenses'!J7</f>
        <v>12487.248120000002</v>
      </c>
      <c r="H60" s="293">
        <f>'Other Expenses'!K7</f>
        <v>12612.120601200002</v>
      </c>
      <c r="I60" s="293">
        <f>'Other Expenses'!L7</f>
        <v>12738.241807212002</v>
      </c>
      <c r="J60" s="293">
        <f>'Other Expenses'!M7</f>
        <v>12865.624225284122</v>
      </c>
      <c r="K60" s="293">
        <f>'Other Expenses'!N7</f>
        <v>12994.280467536963</v>
      </c>
      <c r="L60" s="294">
        <f>'Other Expenses'!O7</f>
        <v>13124.223272212332</v>
      </c>
    </row>
    <row r="61" spans="2:12" s="56" customFormat="1" ht="15.5" x14ac:dyDescent="0.35">
      <c r="B61" s="59" t="s">
        <v>99</v>
      </c>
      <c r="C61" s="293">
        <f>'Other Expenses'!F8</f>
        <v>127025.4375</v>
      </c>
      <c r="D61" s="293">
        <f>'Other Expenses'!G8</f>
        <v>189289.63819499998</v>
      </c>
      <c r="E61" s="293">
        <f>'Other Expenses'!H8</f>
        <v>207487.25351400004</v>
      </c>
      <c r="F61" s="293">
        <f>'Other Expenses'!I8</f>
        <v>225519.94124998801</v>
      </c>
      <c r="G61" s="293">
        <f>'Other Expenses'!J8</f>
        <v>245007.61375867389</v>
      </c>
      <c r="H61" s="293">
        <f>'Other Expenses'!K8</f>
        <v>252291.33533581908</v>
      </c>
      <c r="I61" s="293">
        <f>'Other Expenses'!L8</f>
        <v>260461.30243028695</v>
      </c>
      <c r="J61" s="293">
        <f>'Other Expenses'!M8</f>
        <v>267516.85962822364</v>
      </c>
      <c r="K61" s="293">
        <f>'Other Expenses'!N8</f>
        <v>275471.83607398317</v>
      </c>
      <c r="L61" s="294">
        <f>'Other Expenses'!O8</f>
        <v>283664.06730828411</v>
      </c>
    </row>
    <row r="62" spans="2:12" s="56" customFormat="1" ht="15.5" x14ac:dyDescent="0.35">
      <c r="B62" s="59" t="s">
        <v>126</v>
      </c>
      <c r="C62" s="293">
        <f>'Other Expenses'!F9</f>
        <v>211709.0625</v>
      </c>
      <c r="D62" s="293">
        <f>'Other Expenses'!G9</f>
        <v>315482.73032500001</v>
      </c>
      <c r="E62" s="293">
        <f>'Other Expenses'!H9</f>
        <v>345812.08919000009</v>
      </c>
      <c r="F62" s="293">
        <f>'Other Expenses'!I9</f>
        <v>375866.56874998007</v>
      </c>
      <c r="G62" s="293">
        <f>'Other Expenses'!J9</f>
        <v>408346.02293112315</v>
      </c>
      <c r="H62" s="293">
        <f>'Other Expenses'!K9</f>
        <v>420485.55889303185</v>
      </c>
      <c r="I62" s="293">
        <f>'Other Expenses'!L9</f>
        <v>434102.17071714497</v>
      </c>
      <c r="J62" s="293">
        <f>'Other Expenses'!M9</f>
        <v>445861.43271370605</v>
      </c>
      <c r="K62" s="293">
        <f>'Other Expenses'!N9</f>
        <v>459119.72678997205</v>
      </c>
      <c r="L62" s="294">
        <f>'Other Expenses'!O9</f>
        <v>472773.44551380689</v>
      </c>
    </row>
    <row r="63" spans="2:12" s="56" customFormat="1" ht="15.5" x14ac:dyDescent="0.35">
      <c r="B63" s="59" t="s">
        <v>127</v>
      </c>
      <c r="C63" s="293">
        <f>'Other Expenses'!F10</f>
        <v>1000</v>
      </c>
      <c r="D63" s="293">
        <f>'Other Expenses'!G10</f>
        <v>1020</v>
      </c>
      <c r="E63" s="293">
        <f>'Other Expenses'!H10</f>
        <v>1040.4000000000001</v>
      </c>
      <c r="F63" s="293">
        <f>'Other Expenses'!I10</f>
        <v>1061.2080000000001</v>
      </c>
      <c r="G63" s="293">
        <f>'Other Expenses'!J10</f>
        <v>1082.4321600000001</v>
      </c>
      <c r="H63" s="293">
        <f>'Other Expenses'!K10</f>
        <v>1104.0808032</v>
      </c>
      <c r="I63" s="293">
        <f>'Other Expenses'!L10</f>
        <v>1126.1624192639999</v>
      </c>
      <c r="J63" s="293">
        <f>'Other Expenses'!M10</f>
        <v>1148.68566764928</v>
      </c>
      <c r="K63" s="293">
        <f>'Other Expenses'!N10</f>
        <v>1171.6593810022657</v>
      </c>
      <c r="L63" s="294">
        <f>'Other Expenses'!O10</f>
        <v>1195.0925686223111</v>
      </c>
    </row>
    <row r="64" spans="2:12" s="56" customFormat="1" ht="15.5" x14ac:dyDescent="0.35">
      <c r="B64" s="59" t="s">
        <v>128</v>
      </c>
      <c r="C64" s="293">
        <f>'Other Expenses'!F11</f>
        <v>24000</v>
      </c>
      <c r="D64" s="293">
        <f>'Other Expenses'!G11</f>
        <v>24480</v>
      </c>
      <c r="E64" s="293">
        <f>'Other Expenses'!H11</f>
        <v>24969.600000000002</v>
      </c>
      <c r="F64" s="293">
        <f>'Other Expenses'!I11</f>
        <v>25468.992000000002</v>
      </c>
      <c r="G64" s="293">
        <f>'Other Expenses'!J11</f>
        <v>25978.371840000003</v>
      </c>
      <c r="H64" s="293">
        <f>'Other Expenses'!K11</f>
        <v>26497.939276800003</v>
      </c>
      <c r="I64" s="293">
        <f>'Other Expenses'!L11</f>
        <v>27027.898062336004</v>
      </c>
      <c r="J64" s="293">
        <f>'Other Expenses'!M11</f>
        <v>27568.456023582723</v>
      </c>
      <c r="K64" s="293">
        <f>'Other Expenses'!N11</f>
        <v>28119.825144054379</v>
      </c>
      <c r="L64" s="294">
        <f>'Other Expenses'!O11</f>
        <v>28682.221646935468</v>
      </c>
    </row>
    <row r="65" spans="2:12" s="56" customFormat="1" ht="15.5" x14ac:dyDescent="0.35">
      <c r="B65" s="59" t="s">
        <v>129</v>
      </c>
      <c r="C65" s="293">
        <f>'Other Expenses'!F12</f>
        <v>50000</v>
      </c>
      <c r="D65" s="293">
        <f>'Other Expenses'!G12</f>
        <v>51500</v>
      </c>
      <c r="E65" s="293">
        <f>'Other Expenses'!H12</f>
        <v>53045</v>
      </c>
      <c r="F65" s="293">
        <f>'Other Expenses'!I12</f>
        <v>54636.35</v>
      </c>
      <c r="G65" s="293">
        <f>'Other Expenses'!J12</f>
        <v>56275.440499999997</v>
      </c>
      <c r="H65" s="293">
        <f>'Other Expenses'!K12</f>
        <v>57963.703714999996</v>
      </c>
      <c r="I65" s="293">
        <f>'Other Expenses'!L12</f>
        <v>59702.614826450001</v>
      </c>
      <c r="J65" s="293">
        <f>'Other Expenses'!M12</f>
        <v>61493.693271243501</v>
      </c>
      <c r="K65" s="293">
        <f>'Other Expenses'!N12</f>
        <v>63338.504069380804</v>
      </c>
      <c r="L65" s="290">
        <f>'Other Expenses'!O12</f>
        <v>65238.659191462233</v>
      </c>
    </row>
    <row r="66" spans="2:12" s="56" customFormat="1" ht="15.5" x14ac:dyDescent="0.35">
      <c r="B66" s="59" t="s">
        <v>131</v>
      </c>
      <c r="C66" s="293">
        <f>'Other Expenses'!F23</f>
        <v>182043.75</v>
      </c>
      <c r="D66" s="293">
        <f>'Other Expenses'!G23</f>
        <v>281257.59375</v>
      </c>
      <c r="E66" s="293">
        <f>'Other Expenses'!H23</f>
        <v>309854.94120000006</v>
      </c>
      <c r="F66" s="293">
        <f>'Other Expenses'!I23</f>
        <v>338171.00537062506</v>
      </c>
      <c r="G66" s="293">
        <f>'Other Expenses'!J23</f>
        <v>368805.31997478759</v>
      </c>
      <c r="H66" s="293">
        <f>'Other Expenses'!K23</f>
        <v>379869.47957403131</v>
      </c>
      <c r="I66" s="293">
        <f>'Other Expenses'!L23</f>
        <v>392337.52441046113</v>
      </c>
      <c r="J66" s="293">
        <f>'Other Expenses'!M23</f>
        <v>403003.53088008973</v>
      </c>
      <c r="K66" s="293">
        <f>'Other Expenses'!N23</f>
        <v>415093.63680649246</v>
      </c>
      <c r="L66" s="290">
        <f>'Other Expenses'!O23</f>
        <v>427546.44591068721</v>
      </c>
    </row>
    <row r="67" spans="2:12" s="56" customFormat="1" ht="15.5" x14ac:dyDescent="0.35">
      <c r="B67" s="76" t="s">
        <v>149</v>
      </c>
      <c r="C67" s="303">
        <f>SUM(C60:C66)</f>
        <v>607778.25</v>
      </c>
      <c r="D67" s="303">
        <f t="shared" ref="D67:L67" si="27">SUM(D60:D66)</f>
        <v>875149.96227000002</v>
      </c>
      <c r="E67" s="303">
        <f t="shared" si="27"/>
        <v>954450.48390400014</v>
      </c>
      <c r="F67" s="303">
        <f t="shared" si="27"/>
        <v>1033087.6773705931</v>
      </c>
      <c r="G67" s="303">
        <f t="shared" si="27"/>
        <v>1117982.4492845847</v>
      </c>
      <c r="H67" s="303">
        <f t="shared" si="27"/>
        <v>1150824.2181990822</v>
      </c>
      <c r="I67" s="303">
        <f t="shared" si="27"/>
        <v>1187495.9146731552</v>
      </c>
      <c r="J67" s="303">
        <f t="shared" si="27"/>
        <v>1219458.282409779</v>
      </c>
      <c r="K67" s="303">
        <f t="shared" si="27"/>
        <v>1255309.4687324222</v>
      </c>
      <c r="L67" s="296">
        <f t="shared" si="27"/>
        <v>1292224.1554120104</v>
      </c>
    </row>
    <row r="68" spans="2:12" s="56" customFormat="1" ht="15.5" x14ac:dyDescent="0.35">
      <c r="B68" s="66"/>
      <c r="C68" s="287"/>
      <c r="D68" s="287"/>
      <c r="E68" s="287"/>
      <c r="F68" s="287"/>
      <c r="G68" s="287"/>
      <c r="H68" s="287"/>
      <c r="I68" s="287"/>
      <c r="J68" s="287"/>
      <c r="K68" s="287"/>
      <c r="L68" s="288"/>
    </row>
    <row r="69" spans="2:12" s="56" customFormat="1" ht="15.5" x14ac:dyDescent="0.35">
      <c r="B69" s="76" t="s">
        <v>150</v>
      </c>
      <c r="C69" s="295">
        <f t="shared" ref="C69:L69" si="28">C57-C67</f>
        <v>1811513.125</v>
      </c>
      <c r="D69" s="295">
        <f t="shared" si="28"/>
        <v>2704281.1151999999</v>
      </c>
      <c r="E69" s="295">
        <f t="shared" si="28"/>
        <v>2964727.1015400011</v>
      </c>
      <c r="F69" s="295">
        <f t="shared" si="28"/>
        <v>3222765.649871055</v>
      </c>
      <c r="G69" s="295">
        <f t="shared" si="28"/>
        <v>3501664.0793002765</v>
      </c>
      <c r="H69" s="295">
        <f t="shared" si="28"/>
        <v>3605412.3387588351</v>
      </c>
      <c r="I69" s="295">
        <f t="shared" si="28"/>
        <v>3721845.0744750928</v>
      </c>
      <c r="J69" s="295">
        <f t="shared" si="28"/>
        <v>3822253.963738461</v>
      </c>
      <c r="K69" s="295">
        <f t="shared" si="28"/>
        <v>3935533.9759662421</v>
      </c>
      <c r="L69" s="296">
        <f t="shared" si="28"/>
        <v>4052182.5457632341</v>
      </c>
    </row>
    <row r="70" spans="2:12" s="56" customFormat="1" ht="15.5" x14ac:dyDescent="0.35">
      <c r="B70" s="66"/>
      <c r="C70" s="287"/>
      <c r="D70" s="287"/>
      <c r="E70" s="287"/>
      <c r="F70" s="287"/>
      <c r="G70" s="287"/>
      <c r="H70" s="287"/>
      <c r="I70" s="287"/>
      <c r="J70" s="287"/>
      <c r="K70" s="287"/>
      <c r="L70" s="288"/>
    </row>
    <row r="71" spans="2:12" s="56" customFormat="1" ht="15.5" x14ac:dyDescent="0.35">
      <c r="B71" s="57" t="s">
        <v>151</v>
      </c>
      <c r="C71" s="287"/>
      <c r="D71" s="287"/>
      <c r="E71" s="287"/>
      <c r="F71" s="287"/>
      <c r="G71" s="287"/>
      <c r="H71" s="287"/>
      <c r="I71" s="287"/>
      <c r="J71" s="287"/>
      <c r="K71" s="287"/>
      <c r="L71" s="288"/>
    </row>
    <row r="72" spans="2:12" s="56" customFormat="1" ht="15.5" x14ac:dyDescent="0.35">
      <c r="B72" s="59" t="s">
        <v>140</v>
      </c>
      <c r="C72" s="299">
        <f>'Other Expenses'!F30</f>
        <v>127025.4375</v>
      </c>
      <c r="D72" s="299">
        <f>'Other Expenses'!G30</f>
        <v>189289.63819499998</v>
      </c>
      <c r="E72" s="299">
        <f>'Other Expenses'!H30</f>
        <v>207487.25351400004</v>
      </c>
      <c r="F72" s="299">
        <f>'Other Expenses'!I30</f>
        <v>225519.94124998801</v>
      </c>
      <c r="G72" s="299">
        <f>'Other Expenses'!J30</f>
        <v>245007.61375867389</v>
      </c>
      <c r="H72" s="299">
        <f>'Other Expenses'!K30</f>
        <v>252291.33533581908</v>
      </c>
      <c r="I72" s="299">
        <f>'Other Expenses'!L30</f>
        <v>260461.30243028695</v>
      </c>
      <c r="J72" s="299">
        <f>'Other Expenses'!M30</f>
        <v>267516.85962822364</v>
      </c>
      <c r="K72" s="299">
        <f>'Other Expenses'!N30</f>
        <v>275471.83607398317</v>
      </c>
      <c r="L72" s="300">
        <f>'Other Expenses'!O30</f>
        <v>283664.06730828411</v>
      </c>
    </row>
    <row r="73" spans="2:12" s="56" customFormat="1" ht="15.5" x14ac:dyDescent="0.35">
      <c r="B73" s="59" t="s">
        <v>143</v>
      </c>
      <c r="C73" s="299">
        <f>'Other Expenses'!F31</f>
        <v>16230.262500000001</v>
      </c>
      <c r="D73" s="299">
        <f>'Other Expenses'!G31</f>
        <v>34085.622303999997</v>
      </c>
      <c r="E73" s="299">
        <f>'Other Expenses'!H31</f>
        <v>39294.542030800025</v>
      </c>
      <c r="F73" s="299">
        <f>'Other Expenses'!I31</f>
        <v>44455.312997421104</v>
      </c>
      <c r="G73" s="299">
        <f>'Other Expenses'!J31</f>
        <v>50033.281586005527</v>
      </c>
      <c r="H73" s="299">
        <f>'Other Expenses'!K31</f>
        <v>52108.246775176704</v>
      </c>
      <c r="I73" s="299">
        <f>'Other Expenses'!L31</f>
        <v>54436.901489501855</v>
      </c>
      <c r="J73" s="299">
        <f>'Other Expenses'!M31</f>
        <v>56445.079274769225</v>
      </c>
      <c r="K73" s="299">
        <f>'Other Expenses'!N31</f>
        <v>58710.679519324847</v>
      </c>
      <c r="L73" s="300">
        <f>'Other Expenses'!O31</f>
        <v>61043.650915264683</v>
      </c>
    </row>
    <row r="74" spans="2:12" s="56" customFormat="1" ht="15.5" x14ac:dyDescent="0.35">
      <c r="B74" s="66" t="s">
        <v>152</v>
      </c>
      <c r="C74" s="299">
        <f>C72+C73</f>
        <v>143255.70000000001</v>
      </c>
      <c r="D74" s="299">
        <f t="shared" ref="D74:L74" si="29">D72+D73</f>
        <v>223375.26049899997</v>
      </c>
      <c r="E74" s="299">
        <f t="shared" si="29"/>
        <v>246781.79554480006</v>
      </c>
      <c r="F74" s="299">
        <f t="shared" si="29"/>
        <v>269975.25424740912</v>
      </c>
      <c r="G74" s="299">
        <f t="shared" si="29"/>
        <v>295040.89534467942</v>
      </c>
      <c r="H74" s="299">
        <f t="shared" si="29"/>
        <v>304399.58211099578</v>
      </c>
      <c r="I74" s="299">
        <f t="shared" si="29"/>
        <v>314898.20391978882</v>
      </c>
      <c r="J74" s="299">
        <f t="shared" si="29"/>
        <v>323961.93890299287</v>
      </c>
      <c r="K74" s="299">
        <f t="shared" si="29"/>
        <v>334182.51559330802</v>
      </c>
      <c r="L74" s="300">
        <f t="shared" si="29"/>
        <v>344707.71822354879</v>
      </c>
    </row>
    <row r="75" spans="2:12" s="56" customFormat="1" ht="15.5" x14ac:dyDescent="0.35">
      <c r="B75" s="66"/>
      <c r="C75" s="287"/>
      <c r="D75" s="287"/>
      <c r="E75" s="287"/>
      <c r="F75" s="287"/>
      <c r="G75" s="287"/>
      <c r="H75" s="287"/>
      <c r="I75" s="287"/>
      <c r="J75" s="287"/>
      <c r="K75" s="287"/>
      <c r="L75" s="288"/>
    </row>
    <row r="76" spans="2:12" s="56" customFormat="1" ht="15.5" x14ac:dyDescent="0.35">
      <c r="B76" s="57" t="s">
        <v>144</v>
      </c>
      <c r="C76" s="287"/>
      <c r="D76" s="287"/>
      <c r="E76" s="287"/>
      <c r="F76" s="287"/>
      <c r="G76" s="287"/>
      <c r="H76" s="287"/>
      <c r="I76" s="287"/>
      <c r="J76" s="287"/>
      <c r="K76" s="287"/>
      <c r="L76" s="288"/>
    </row>
    <row r="77" spans="2:12" s="56" customFormat="1" ht="15.5" x14ac:dyDescent="0.35">
      <c r="B77" s="59" t="s">
        <v>146</v>
      </c>
      <c r="C77" s="293">
        <f>'Other Expenses'!F37</f>
        <v>42341.8125</v>
      </c>
      <c r="D77" s="293">
        <f>'Other Expenses'!G37</f>
        <v>63096.546065000002</v>
      </c>
      <c r="E77" s="293">
        <f>'Other Expenses'!H37</f>
        <v>69162.417838000008</v>
      </c>
      <c r="F77" s="293">
        <f>'Other Expenses'!I37</f>
        <v>75173.313749995999</v>
      </c>
      <c r="G77" s="293">
        <f>'Other Expenses'!J37</f>
        <v>81669.20458622463</v>
      </c>
      <c r="H77" s="293">
        <f>'Other Expenses'!K37</f>
        <v>84097.11177860637</v>
      </c>
      <c r="I77" s="293">
        <f>'Other Expenses'!L37</f>
        <v>86820.434143428996</v>
      </c>
      <c r="J77" s="293">
        <f>'Other Expenses'!M37</f>
        <v>89172.286542741218</v>
      </c>
      <c r="K77" s="293">
        <f>'Other Expenses'!N37</f>
        <v>91823.945357994395</v>
      </c>
      <c r="L77" s="294">
        <f>'Other Expenses'!O37</f>
        <v>94554.689102761375</v>
      </c>
    </row>
    <row r="78" spans="2:12" s="56" customFormat="1" ht="15.5" x14ac:dyDescent="0.35">
      <c r="B78" s="66"/>
      <c r="C78" s="287"/>
      <c r="D78" s="287"/>
      <c r="E78" s="287"/>
      <c r="F78" s="287"/>
      <c r="G78" s="287"/>
      <c r="H78" s="287"/>
      <c r="I78" s="287"/>
      <c r="J78" s="287"/>
      <c r="K78" s="287"/>
      <c r="L78" s="288"/>
    </row>
    <row r="79" spans="2:12" s="56" customFormat="1" ht="15.5" x14ac:dyDescent="0.35">
      <c r="B79" s="57" t="s">
        <v>158</v>
      </c>
      <c r="C79" s="295">
        <f>C69-(C74+C77)</f>
        <v>1625915.6125</v>
      </c>
      <c r="D79" s="295">
        <f t="shared" ref="D79:L79" si="30">D69-(D74+D77)</f>
        <v>2417809.3086359999</v>
      </c>
      <c r="E79" s="295">
        <f t="shared" si="30"/>
        <v>2648782.888157201</v>
      </c>
      <c r="F79" s="295">
        <f t="shared" si="30"/>
        <v>2877617.0818736497</v>
      </c>
      <c r="G79" s="295">
        <f t="shared" si="30"/>
        <v>3124953.9793693726</v>
      </c>
      <c r="H79" s="295">
        <f t="shared" si="30"/>
        <v>3216915.644869233</v>
      </c>
      <c r="I79" s="295">
        <f t="shared" si="30"/>
        <v>3320126.4364118748</v>
      </c>
      <c r="J79" s="295">
        <f t="shared" si="30"/>
        <v>3409119.7382927267</v>
      </c>
      <c r="K79" s="295">
        <f t="shared" si="30"/>
        <v>3509527.5150149399</v>
      </c>
      <c r="L79" s="296">
        <f t="shared" si="30"/>
        <v>3612920.1384369237</v>
      </c>
    </row>
    <row r="80" spans="2:12" s="56" customFormat="1" ht="15.5" x14ac:dyDescent="0.35">
      <c r="B80" s="59" t="s">
        <v>159</v>
      </c>
      <c r="C80" s="299">
        <f>'Other Expenses'!F40</f>
        <v>84683.625</v>
      </c>
      <c r="D80" s="299">
        <f>'Other Expenses'!G40</f>
        <v>126193.09213</v>
      </c>
      <c r="E80" s="299">
        <f>'Other Expenses'!H40</f>
        <v>138324.83567600002</v>
      </c>
      <c r="F80" s="299">
        <f>'Other Expenses'!I40</f>
        <v>150346.627499992</v>
      </c>
      <c r="G80" s="299">
        <f>'Other Expenses'!J40</f>
        <v>163338.40917244926</v>
      </c>
      <c r="H80" s="299">
        <f>'Other Expenses'!K40</f>
        <v>168194.22355721274</v>
      </c>
      <c r="I80" s="299">
        <f>'Other Expenses'!L40</f>
        <v>173640.86828685799</v>
      </c>
      <c r="J80" s="299">
        <f>'Other Expenses'!M40</f>
        <v>178344.57308548244</v>
      </c>
      <c r="K80" s="299">
        <f>'Other Expenses'!N40</f>
        <v>183647.89071598879</v>
      </c>
      <c r="L80" s="300">
        <f>'Other Expenses'!O40</f>
        <v>189109.37820552275</v>
      </c>
    </row>
    <row r="81" spans="2:12" s="56" customFormat="1" ht="15.5" x14ac:dyDescent="0.35">
      <c r="B81" s="59" t="s">
        <v>145</v>
      </c>
      <c r="C81" s="299">
        <f>'Other Expenses'!F46</f>
        <v>358923.96637500002</v>
      </c>
      <c r="D81" s="299">
        <f>'Other Expenses'!G46</f>
        <v>509383.76864083996</v>
      </c>
      <c r="E81" s="299">
        <f>'Other Expenses'!H46</f>
        <v>553268.74874986825</v>
      </c>
      <c r="F81" s="299">
        <f>'Other Expenses'!I46</f>
        <v>596747.2455559934</v>
      </c>
      <c r="G81" s="299">
        <f>'Other Expenses'!J46</f>
        <v>643741.25608018076</v>
      </c>
      <c r="H81" s="299">
        <f>'Other Expenses'!K46</f>
        <v>661213.97252515424</v>
      </c>
      <c r="I81" s="299">
        <f>'Other Expenses'!L46</f>
        <v>680824.02291825623</v>
      </c>
      <c r="J81" s="299">
        <f>'Other Expenses'!M46</f>
        <v>697732.75027561805</v>
      </c>
      <c r="K81" s="299">
        <f>'Other Expenses'!N46</f>
        <v>716810.22785283858</v>
      </c>
      <c r="L81" s="300">
        <f>'Other Expenses'!O46</f>
        <v>736454.82630301546</v>
      </c>
    </row>
    <row r="82" spans="2:12" s="56" customFormat="1" ht="15.5" x14ac:dyDescent="0.35">
      <c r="B82" s="66"/>
      <c r="C82" s="287"/>
      <c r="D82" s="287"/>
      <c r="E82" s="287"/>
      <c r="F82" s="287"/>
      <c r="G82" s="287"/>
      <c r="H82" s="287"/>
      <c r="I82" s="287"/>
      <c r="J82" s="287"/>
      <c r="K82" s="287"/>
      <c r="L82" s="288"/>
    </row>
    <row r="83" spans="2:12" s="56" customFormat="1" ht="16" thickBot="1" x14ac:dyDescent="0.4">
      <c r="B83" s="144" t="s">
        <v>160</v>
      </c>
      <c r="C83" s="305">
        <f>C79-(C80+C81)</f>
        <v>1182308.021125</v>
      </c>
      <c r="D83" s="305">
        <f t="shared" ref="D83:L83" si="31">D79-(D80+D81)</f>
        <v>1782232.4478651599</v>
      </c>
      <c r="E83" s="305">
        <f t="shared" si="31"/>
        <v>1957189.3037313328</v>
      </c>
      <c r="F83" s="305">
        <f t="shared" si="31"/>
        <v>2130523.2088176645</v>
      </c>
      <c r="G83" s="305">
        <f t="shared" si="31"/>
        <v>2317874.3141167425</v>
      </c>
      <c r="H83" s="305">
        <f t="shared" si="31"/>
        <v>2387507.4487868659</v>
      </c>
      <c r="I83" s="305">
        <f t="shared" si="31"/>
        <v>2465661.5452067605</v>
      </c>
      <c r="J83" s="305">
        <f t="shared" si="31"/>
        <v>2533042.4149316261</v>
      </c>
      <c r="K83" s="305">
        <f t="shared" si="31"/>
        <v>2609069.3964461125</v>
      </c>
      <c r="L83" s="306">
        <f t="shared" si="31"/>
        <v>2687355.9339283854</v>
      </c>
    </row>
    <row r="84" spans="2:12" s="56" customFormat="1" ht="15.5" x14ac:dyDescent="0.35"/>
    <row r="85" spans="2:12" s="56" customFormat="1" ht="15.5" x14ac:dyDescent="0.3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10330-C19F-4BA1-9051-094A7700BB1B}">
  <sheetPr>
    <tabColor theme="0"/>
  </sheetPr>
  <dimension ref="B1:O173"/>
  <sheetViews>
    <sheetView topLeftCell="A37" zoomScale="80" zoomScaleNormal="80" workbookViewId="0">
      <selection activeCell="Q46" sqref="Q46"/>
    </sheetView>
  </sheetViews>
  <sheetFormatPr defaultRowHeight="14" x14ac:dyDescent="0.3"/>
  <cols>
    <col min="1" max="1" width="1.90625" style="3" customWidth="1"/>
    <col min="2" max="2" width="44.81640625" style="3" bestFit="1" customWidth="1"/>
    <col min="3" max="3" width="17.26953125" style="3" bestFit="1" customWidth="1"/>
    <col min="4" max="6" width="16.1796875" style="3" bestFit="1" customWidth="1"/>
    <col min="7" max="10" width="16.26953125" style="3" bestFit="1" customWidth="1"/>
    <col min="11" max="12" width="16.1796875" style="3" bestFit="1" customWidth="1"/>
    <col min="13" max="13" width="17.26953125" style="3" bestFit="1" customWidth="1"/>
    <col min="14" max="14" width="8.7265625" style="3"/>
    <col min="15" max="15" width="16.1796875" style="3" bestFit="1" customWidth="1"/>
    <col min="16" max="16384" width="8.7265625" style="3"/>
  </cols>
  <sheetData>
    <row r="1" spans="2:13" ht="42.5" x14ac:dyDescent="1.1000000000000001">
      <c r="B1" s="31" t="s">
        <v>203</v>
      </c>
    </row>
    <row r="2" spans="2:13" s="56" customFormat="1" ht="15.5" x14ac:dyDescent="0.35">
      <c r="B2" s="55" t="str">
        <f>Summary!B3</f>
        <v>XpertHotel 113  Park Lane London, W1K 7AJ</v>
      </c>
    </row>
    <row r="3" spans="2:13" s="56" customFormat="1" ht="16" thickBot="1" x14ac:dyDescent="0.4"/>
    <row r="4" spans="2:13" s="56" customFormat="1" ht="15.5" x14ac:dyDescent="0.35">
      <c r="B4" s="86"/>
      <c r="C4" s="87">
        <v>0</v>
      </c>
      <c r="D4" s="87">
        <f>C4+1</f>
        <v>1</v>
      </c>
      <c r="E4" s="87">
        <f t="shared" ref="E4:M4" si="0">D4+1</f>
        <v>2</v>
      </c>
      <c r="F4" s="87">
        <f t="shared" si="0"/>
        <v>3</v>
      </c>
      <c r="G4" s="87">
        <f t="shared" si="0"/>
        <v>4</v>
      </c>
      <c r="H4" s="87">
        <f t="shared" si="0"/>
        <v>5</v>
      </c>
      <c r="I4" s="87">
        <f t="shared" si="0"/>
        <v>6</v>
      </c>
      <c r="J4" s="87">
        <f t="shared" si="0"/>
        <v>7</v>
      </c>
      <c r="K4" s="87">
        <f t="shared" si="0"/>
        <v>8</v>
      </c>
      <c r="L4" s="87">
        <f t="shared" si="0"/>
        <v>9</v>
      </c>
      <c r="M4" s="87">
        <f t="shared" si="0"/>
        <v>10</v>
      </c>
    </row>
    <row r="5" spans="2:13" s="56" customFormat="1" ht="15.5" x14ac:dyDescent="0.35">
      <c r="B5" s="88"/>
      <c r="C5" s="89">
        <f>YEAR(C6)</f>
        <v>2025</v>
      </c>
      <c r="D5" s="89">
        <f t="shared" ref="D5:M5" si="1">YEAR(D6)</f>
        <v>2026</v>
      </c>
      <c r="E5" s="89">
        <f t="shared" si="1"/>
        <v>2027</v>
      </c>
      <c r="F5" s="89">
        <f t="shared" si="1"/>
        <v>2028</v>
      </c>
      <c r="G5" s="89">
        <f t="shared" si="1"/>
        <v>2029</v>
      </c>
      <c r="H5" s="89">
        <f t="shared" si="1"/>
        <v>2030</v>
      </c>
      <c r="I5" s="89">
        <f t="shared" si="1"/>
        <v>2031</v>
      </c>
      <c r="J5" s="89">
        <f t="shared" si="1"/>
        <v>2032</v>
      </c>
      <c r="K5" s="89">
        <f t="shared" si="1"/>
        <v>2033</v>
      </c>
      <c r="L5" s="89">
        <f t="shared" si="1"/>
        <v>2034</v>
      </c>
      <c r="M5" s="90">
        <f t="shared" si="1"/>
        <v>2035</v>
      </c>
    </row>
    <row r="6" spans="2:13" s="56" customFormat="1" ht="15.5" x14ac:dyDescent="0.35">
      <c r="B6" s="91" t="s">
        <v>63</v>
      </c>
      <c r="C6" s="92">
        <f>Summary!C10</f>
        <v>45869</v>
      </c>
      <c r="D6" s="92">
        <f>EOMONTH(C6,12)</f>
        <v>46234</v>
      </c>
      <c r="E6" s="92">
        <f t="shared" ref="E6:M6" si="2">EOMONTH(D6,12)</f>
        <v>46599</v>
      </c>
      <c r="F6" s="92">
        <f t="shared" si="2"/>
        <v>46965</v>
      </c>
      <c r="G6" s="92">
        <f t="shared" si="2"/>
        <v>47330</v>
      </c>
      <c r="H6" s="92">
        <f t="shared" si="2"/>
        <v>47695</v>
      </c>
      <c r="I6" s="92">
        <f t="shared" si="2"/>
        <v>48060</v>
      </c>
      <c r="J6" s="92">
        <f t="shared" si="2"/>
        <v>48426</v>
      </c>
      <c r="K6" s="92">
        <f t="shared" si="2"/>
        <v>48791</v>
      </c>
      <c r="L6" s="92">
        <f t="shared" si="2"/>
        <v>49156</v>
      </c>
      <c r="M6" s="93">
        <f t="shared" si="2"/>
        <v>49521</v>
      </c>
    </row>
    <row r="7" spans="2:13" s="56" customFormat="1" ht="15.5" x14ac:dyDescent="0.35">
      <c r="B7" s="57" t="s">
        <v>161</v>
      </c>
      <c r="M7" s="58"/>
    </row>
    <row r="8" spans="2:13" s="56" customFormat="1" ht="15.5" x14ac:dyDescent="0.35">
      <c r="B8" s="59" t="s">
        <v>15</v>
      </c>
      <c r="C8" s="60">
        <f>-Summary!C22</f>
        <v>-30000000</v>
      </c>
      <c r="D8" s="60"/>
      <c r="M8" s="58"/>
    </row>
    <row r="9" spans="2:13" s="56" customFormat="1" ht="15.5" x14ac:dyDescent="0.35">
      <c r="B9" s="59" t="s">
        <v>162</v>
      </c>
      <c r="C9" s="60">
        <f>-Summary!C25</f>
        <v>-200000</v>
      </c>
      <c r="D9" s="60"/>
      <c r="M9" s="58"/>
    </row>
    <row r="10" spans="2:13" s="56" customFormat="1" ht="16" thickBot="1" x14ac:dyDescent="0.4">
      <c r="B10" s="59" t="s">
        <v>163</v>
      </c>
      <c r="C10" s="60">
        <f>-Summary!C24-Summary!C26</f>
        <v>-480000</v>
      </c>
      <c r="D10" s="60"/>
      <c r="M10" s="58"/>
    </row>
    <row r="11" spans="2:13" s="56" customFormat="1" ht="15.5" x14ac:dyDescent="0.35">
      <c r="B11" s="61" t="s">
        <v>161</v>
      </c>
      <c r="C11" s="62">
        <f>SUM(C8:C10)</f>
        <v>-30680000</v>
      </c>
      <c r="D11" s="63"/>
      <c r="E11" s="64"/>
      <c r="F11" s="64"/>
      <c r="G11" s="64"/>
      <c r="H11" s="64"/>
      <c r="I11" s="64"/>
      <c r="J11" s="64"/>
      <c r="K11" s="64"/>
      <c r="L11" s="64"/>
      <c r="M11" s="65"/>
    </row>
    <row r="12" spans="2:13" s="56" customFormat="1" ht="15.5" x14ac:dyDescent="0.35">
      <c r="B12" s="66"/>
      <c r="C12" s="60"/>
      <c r="D12" s="60"/>
      <c r="M12" s="58"/>
    </row>
    <row r="13" spans="2:13" s="56" customFormat="1" ht="15.5" x14ac:dyDescent="0.35">
      <c r="B13" s="66" t="s">
        <v>207</v>
      </c>
      <c r="C13" s="214">
        <f>EOMONTH(C6, Summary!C13*12)</f>
        <v>49521</v>
      </c>
      <c r="D13" s="110">
        <f>IF(D6&lt;=$C$13, 1, 0)</f>
        <v>1</v>
      </c>
      <c r="E13" s="110">
        <f t="shared" ref="E13:M13" si="3">IF(E6&lt;=$C$13, 1, 0)</f>
        <v>1</v>
      </c>
      <c r="F13" s="110">
        <f t="shared" si="3"/>
        <v>1</v>
      </c>
      <c r="G13" s="110">
        <f t="shared" si="3"/>
        <v>1</v>
      </c>
      <c r="H13" s="110">
        <f t="shared" si="3"/>
        <v>1</v>
      </c>
      <c r="I13" s="110">
        <f t="shared" si="3"/>
        <v>1</v>
      </c>
      <c r="J13" s="110">
        <f t="shared" si="3"/>
        <v>1</v>
      </c>
      <c r="K13" s="110">
        <f t="shared" si="3"/>
        <v>1</v>
      </c>
      <c r="L13" s="110">
        <f t="shared" si="3"/>
        <v>1</v>
      </c>
      <c r="M13" s="215">
        <f t="shared" si="3"/>
        <v>1</v>
      </c>
    </row>
    <row r="14" spans="2:13" s="56" customFormat="1" ht="15.5" x14ac:dyDescent="0.35">
      <c r="B14" s="66" t="s">
        <v>208</v>
      </c>
      <c r="C14" s="60"/>
      <c r="D14" s="110">
        <f>IF(D6=$C$13, 1, 0)</f>
        <v>0</v>
      </c>
      <c r="E14" s="110">
        <f t="shared" ref="E14:M14" si="4">IF(E6=$C$13, 1, 0)</f>
        <v>0</v>
      </c>
      <c r="F14" s="110">
        <f t="shared" si="4"/>
        <v>0</v>
      </c>
      <c r="G14" s="110">
        <f t="shared" si="4"/>
        <v>0</v>
      </c>
      <c r="H14" s="110">
        <f t="shared" si="4"/>
        <v>0</v>
      </c>
      <c r="I14" s="110">
        <f t="shared" si="4"/>
        <v>0</v>
      </c>
      <c r="J14" s="110">
        <f t="shared" si="4"/>
        <v>0</v>
      </c>
      <c r="K14" s="110">
        <f t="shared" si="4"/>
        <v>0</v>
      </c>
      <c r="L14" s="110">
        <f t="shared" si="4"/>
        <v>0</v>
      </c>
      <c r="M14" s="215">
        <f t="shared" si="4"/>
        <v>1</v>
      </c>
    </row>
    <row r="15" spans="2:13" s="56" customFormat="1" ht="15.5" x14ac:dyDescent="0.35">
      <c r="B15" s="66"/>
      <c r="C15" s="60"/>
      <c r="D15" s="60"/>
      <c r="M15" s="58"/>
    </row>
    <row r="16" spans="2:13" s="56" customFormat="1" ht="15.5" x14ac:dyDescent="0.35">
      <c r="B16" s="57" t="s">
        <v>71</v>
      </c>
      <c r="C16" s="60"/>
      <c r="D16" s="60"/>
      <c r="M16" s="58"/>
    </row>
    <row r="17" spans="2:13" s="56" customFormat="1" ht="15.5" x14ac:dyDescent="0.35">
      <c r="B17" s="59" t="str">
        <f>'Operating Cash Flow'!B18</f>
        <v>Room Revenue</v>
      </c>
      <c r="D17" s="60">
        <f>'Operating Cash Flow'!C18*D13</f>
        <v>2600625</v>
      </c>
      <c r="E17" s="60">
        <f>'Operating Cash Flow'!D18*E13</f>
        <v>4017965.625</v>
      </c>
      <c r="F17" s="60">
        <f>'Operating Cash Flow'!E18*F13</f>
        <v>4426499.1600000011</v>
      </c>
      <c r="G17" s="60">
        <f>'Operating Cash Flow'!F18*G13</f>
        <v>4831014.3624375006</v>
      </c>
      <c r="H17" s="60">
        <f>'Operating Cash Flow'!G18*H13</f>
        <v>5268647.4282112513</v>
      </c>
      <c r="I17" s="60">
        <f>'Operating Cash Flow'!H18*I13</f>
        <v>5426706.8510575891</v>
      </c>
      <c r="J17" s="60">
        <f>'Operating Cash Flow'!I18*J13</f>
        <v>5604821.7772923019</v>
      </c>
      <c r="K17" s="60">
        <f>'Operating Cash Flow'!J18*K13</f>
        <v>5757193.2982869959</v>
      </c>
      <c r="L17" s="60">
        <f>'Operating Cash Flow'!K18*L13</f>
        <v>5929909.0972356061</v>
      </c>
      <c r="M17" s="67">
        <f>'Operating Cash Flow'!L18*M13</f>
        <v>6107806.3701526746</v>
      </c>
    </row>
    <row r="18" spans="2:13" s="56" customFormat="1" ht="15.5" x14ac:dyDescent="0.35">
      <c r="B18" s="59" t="str">
        <f>'Operating Cash Flow'!B19</f>
        <v>Food and Beverage Revenue</v>
      </c>
      <c r="D18" s="60">
        <f>'Operating Cash Flow'!C19*D13</f>
        <v>1241056.25</v>
      </c>
      <c r="E18" s="60">
        <f>'Operating Cash Flow'!D19*E13</f>
        <v>1889463.9815000002</v>
      </c>
      <c r="F18" s="60">
        <f>'Operating Cash Flow'!E19*F13</f>
        <v>2077541.3737999999</v>
      </c>
      <c r="G18" s="60">
        <f>'Operating Cash Flow'!F19*G13</f>
        <v>2263881.5300620999</v>
      </c>
      <c r="H18" s="60">
        <f>'Operating Cash Flow'!G19*H13</f>
        <v>2465338.4144862117</v>
      </c>
      <c r="I18" s="60">
        <f>'Operating Cash Flow'!H19*I13</f>
        <v>2539298.5669207983</v>
      </c>
      <c r="J18" s="60">
        <f>'Operating Cash Flow'!I19*J13</f>
        <v>2622465.4164807848</v>
      </c>
      <c r="K18" s="60">
        <f>'Operating Cash Flow'!J19*K13</f>
        <v>2693941.8496462754</v>
      </c>
      <c r="L18" s="60">
        <f>'Operating Cash Flow'!K19*L13</f>
        <v>2774760.1051356634</v>
      </c>
      <c r="M18" s="67">
        <f>'Operating Cash Flow'!L19*M13</f>
        <v>2858002.9082897333</v>
      </c>
    </row>
    <row r="19" spans="2:13" s="56" customFormat="1" ht="15.5" x14ac:dyDescent="0.35">
      <c r="B19" s="59" t="str">
        <f>'Operating Cash Flow'!B24</f>
        <v>Other Operating Departments</v>
      </c>
      <c r="D19" s="60">
        <f>'Operating Cash Flow'!C24*D13</f>
        <v>392500</v>
      </c>
      <c r="E19" s="60">
        <f>'Operating Cash Flow'!D24*E13</f>
        <v>402225</v>
      </c>
      <c r="F19" s="60">
        <f>'Operating Cash Flow'!E24*F13</f>
        <v>412201.25</v>
      </c>
      <c r="G19" s="60">
        <f>'Operating Cash Flow'!F24*G13</f>
        <v>422435.48249999998</v>
      </c>
      <c r="H19" s="60">
        <f>'Operating Cash Flow'!G24*H13</f>
        <v>432934.61592499999</v>
      </c>
      <c r="I19" s="60">
        <f>'Operating Cash Flow'!H24*I13</f>
        <v>443705.75988225004</v>
      </c>
      <c r="J19" s="60">
        <f>'Operating Cash Flow'!I24*J13</f>
        <v>454756.22056981252</v>
      </c>
      <c r="K19" s="60">
        <f>'Operating Cash Flow'!J24*K13</f>
        <v>466093.50634084892</v>
      </c>
      <c r="L19" s="60">
        <f>'Operating Cash Flow'!K24*L13</f>
        <v>477725.33342817047</v>
      </c>
      <c r="M19" s="67">
        <f>'Operating Cash Flow'!L24*M13</f>
        <v>489659.63183372963</v>
      </c>
    </row>
    <row r="20" spans="2:13" s="56" customFormat="1" ht="15.5" x14ac:dyDescent="0.35">
      <c r="B20" s="66" t="s">
        <v>83</v>
      </c>
      <c r="C20" s="60"/>
      <c r="D20" s="216">
        <f>SUM(D17:D19)</f>
        <v>4234181.25</v>
      </c>
      <c r="E20" s="216">
        <f t="shared" ref="E20:M20" si="5">SUM(E17:E19)</f>
        <v>6309654.6064999998</v>
      </c>
      <c r="F20" s="216">
        <f t="shared" si="5"/>
        <v>6916241.7838000013</v>
      </c>
      <c r="G20" s="216">
        <f t="shared" si="5"/>
        <v>7517331.3749996005</v>
      </c>
      <c r="H20" s="216">
        <f t="shared" si="5"/>
        <v>8166920.458622463</v>
      </c>
      <c r="I20" s="216">
        <f t="shared" si="5"/>
        <v>8409711.1778606381</v>
      </c>
      <c r="J20" s="216">
        <f t="shared" si="5"/>
        <v>8682043.4143428989</v>
      </c>
      <c r="K20" s="216">
        <f t="shared" si="5"/>
        <v>8917228.6542741191</v>
      </c>
      <c r="L20" s="216">
        <f t="shared" si="5"/>
        <v>9182394.53579944</v>
      </c>
      <c r="M20" s="217">
        <f t="shared" si="5"/>
        <v>9455468.9102761392</v>
      </c>
    </row>
    <row r="21" spans="2:13" s="56" customFormat="1" ht="15.5" x14ac:dyDescent="0.35">
      <c r="B21" s="66"/>
      <c r="C21" s="60"/>
      <c r="D21" s="60"/>
      <c r="M21" s="58"/>
    </row>
    <row r="22" spans="2:13" s="56" customFormat="1" ht="15.5" x14ac:dyDescent="0.35">
      <c r="B22" s="57" t="s">
        <v>109</v>
      </c>
      <c r="C22" s="60"/>
      <c r="D22" s="60"/>
      <c r="M22" s="58"/>
    </row>
    <row r="23" spans="2:13" s="56" customFormat="1" ht="15.5" x14ac:dyDescent="0.35">
      <c r="B23" s="59" t="str">
        <f>'Operating Cash Flow'!B32</f>
        <v>Room Expense</v>
      </c>
      <c r="C23" s="60"/>
      <c r="D23" s="60">
        <f>'Operating Cash Flow'!C32*D13</f>
        <v>780187.5</v>
      </c>
      <c r="E23" s="60">
        <f>'Operating Cash Flow'!D32*E13</f>
        <v>1205389.6875</v>
      </c>
      <c r="F23" s="60">
        <f>'Operating Cash Flow'!E32*F13</f>
        <v>1327949.7480000004</v>
      </c>
      <c r="G23" s="60">
        <f>'Operating Cash Flow'!F32*G13</f>
        <v>1449304.3087312502</v>
      </c>
      <c r="H23" s="60">
        <f>'Operating Cash Flow'!G32*H13</f>
        <v>1580594.2284633752</v>
      </c>
      <c r="I23" s="60">
        <f>'Operating Cash Flow'!H32*I13</f>
        <v>1628012.0553172766</v>
      </c>
      <c r="J23" s="60">
        <f>'Operating Cash Flow'!I32*J13</f>
        <v>1681446.5331876904</v>
      </c>
      <c r="K23" s="60">
        <f>'Operating Cash Flow'!J32*K13</f>
        <v>1727157.9894860988</v>
      </c>
      <c r="L23" s="60">
        <f>'Operating Cash Flow'!K32*L13</f>
        <v>1778972.7291706817</v>
      </c>
      <c r="M23" s="67">
        <f>'Operating Cash Flow'!L32*M13</f>
        <v>1832341.9110458023</v>
      </c>
    </row>
    <row r="24" spans="2:13" s="56" customFormat="1" ht="15.5" x14ac:dyDescent="0.35">
      <c r="B24" s="59" t="str">
        <f>'Operating Cash Flow'!B33</f>
        <v>Food and Beverage Expense</v>
      </c>
      <c r="C24" s="60"/>
      <c r="D24" s="60">
        <f>'Operating Cash Flow'!C33*D13</f>
        <v>930652.375</v>
      </c>
      <c r="E24" s="60">
        <f>'Operating Cash Flow'!D33*E13</f>
        <v>1417863.3415300001</v>
      </c>
      <c r="F24" s="60">
        <f>'Operating Cash Flow'!E33*F13</f>
        <v>1559139.8453560001</v>
      </c>
      <c r="G24" s="60">
        <f>'Operating Cash Flow'!F33*G13</f>
        <v>1699108.9959767023</v>
      </c>
      <c r="H24" s="60">
        <f>'Operating Cash Flow'!G33*H13</f>
        <v>1850436.2881337267</v>
      </c>
      <c r="I24" s="60">
        <f>'Operating Cash Flow'!H33*I13</f>
        <v>1905949.3767777381</v>
      </c>
      <c r="J24" s="60">
        <f>'Operating Cash Flow'!I33*J13</f>
        <v>1968379.1747057138</v>
      </c>
      <c r="K24" s="60">
        <f>'Operating Cash Flow'!J33*K13</f>
        <v>2022021.6938235029</v>
      </c>
      <c r="L24" s="60">
        <f>'Operating Cash Flow'!K33*L13</f>
        <v>2082682.3446382077</v>
      </c>
      <c r="M24" s="67">
        <f>'Operating Cash Flow'!L33*M13</f>
        <v>2145162.8149773534</v>
      </c>
    </row>
    <row r="25" spans="2:13" s="56" customFormat="1" ht="15.5" x14ac:dyDescent="0.35">
      <c r="B25" s="59" t="str">
        <f>'Operating Cash Flow'!B38</f>
        <v>Other Operating Departments</v>
      </c>
      <c r="C25" s="60"/>
      <c r="D25" s="60">
        <f>'Operating Cash Flow'!C38*D13</f>
        <v>104050</v>
      </c>
      <c r="E25" s="60">
        <f>'Operating Cash Flow'!D38*E13</f>
        <v>106970.5</v>
      </c>
      <c r="F25" s="60">
        <f>'Operating Cash Flow'!E38*F13</f>
        <v>109974.60500000001</v>
      </c>
      <c r="G25" s="60">
        <f>'Operating Cash Flow'!F38*G13</f>
        <v>113064.74305</v>
      </c>
      <c r="H25" s="60">
        <f>'Operating Cash Flow'!G38*H13</f>
        <v>116243.41344050001</v>
      </c>
      <c r="I25" s="60">
        <f>'Operating Cash Flow'!H38*I13</f>
        <v>119513.188807705</v>
      </c>
      <c r="J25" s="60">
        <f>'Operating Cash Flow'!I38*J13</f>
        <v>122876.71730124606</v>
      </c>
      <c r="K25" s="60">
        <f>'Operating Cash Flow'!J38*K13</f>
        <v>126336.72481628005</v>
      </c>
      <c r="L25" s="60">
        <f>'Operating Cash Flow'!K38*L13</f>
        <v>129896.0172918865</v>
      </c>
      <c r="M25" s="67">
        <f>'Operating Cash Flow'!L38*M13</f>
        <v>133557.48307773698</v>
      </c>
    </row>
    <row r="26" spans="2:13" s="56" customFormat="1" ht="15.5" x14ac:dyDescent="0.35">
      <c r="B26" s="66" t="s">
        <v>119</v>
      </c>
      <c r="C26" s="60"/>
      <c r="D26" s="216">
        <f>SUM(D23:D25)</f>
        <v>1814889.875</v>
      </c>
      <c r="E26" s="216">
        <f t="shared" ref="E26:M26" si="6">SUM(E23:E25)</f>
        <v>2730223.5290299999</v>
      </c>
      <c r="F26" s="216">
        <f t="shared" si="6"/>
        <v>2997064.1983560002</v>
      </c>
      <c r="G26" s="216">
        <f t="shared" si="6"/>
        <v>3261478.0477579529</v>
      </c>
      <c r="H26" s="216">
        <f t="shared" si="6"/>
        <v>3547273.9300376019</v>
      </c>
      <c r="I26" s="216">
        <f t="shared" si="6"/>
        <v>3653474.6209027194</v>
      </c>
      <c r="J26" s="216">
        <f t="shared" si="6"/>
        <v>3772702.4251946504</v>
      </c>
      <c r="K26" s="216">
        <f t="shared" si="6"/>
        <v>3875516.4081258816</v>
      </c>
      <c r="L26" s="216">
        <f t="shared" si="6"/>
        <v>3991551.0911007756</v>
      </c>
      <c r="M26" s="217">
        <f t="shared" si="6"/>
        <v>4111062.2091008928</v>
      </c>
    </row>
    <row r="27" spans="2:13" s="56" customFormat="1" ht="15.5" x14ac:dyDescent="0.35">
      <c r="B27" s="66"/>
      <c r="C27" s="60"/>
      <c r="D27" s="60"/>
      <c r="M27" s="58"/>
    </row>
    <row r="28" spans="2:13" s="56" customFormat="1" ht="15.5" x14ac:dyDescent="0.35">
      <c r="B28" s="57" t="s">
        <v>120</v>
      </c>
      <c r="C28" s="60"/>
      <c r="D28" s="60"/>
      <c r="M28" s="58"/>
    </row>
    <row r="29" spans="2:13" s="56" customFormat="1" ht="15.5" x14ac:dyDescent="0.35">
      <c r="B29" s="59" t="str">
        <f>'Operating Cash Flow'!B46</f>
        <v>Room Profit</v>
      </c>
      <c r="C29" s="60"/>
      <c r="D29" s="60">
        <f>D17-D23</f>
        <v>1820437.5</v>
      </c>
      <c r="E29" s="60">
        <f t="shared" ref="E29:M29" si="7">E17-E23</f>
        <v>2812575.9375</v>
      </c>
      <c r="F29" s="60">
        <f t="shared" si="7"/>
        <v>3098549.4120000005</v>
      </c>
      <c r="G29" s="60">
        <f t="shared" si="7"/>
        <v>3381710.0537062502</v>
      </c>
      <c r="H29" s="60">
        <f t="shared" si="7"/>
        <v>3688053.1997478763</v>
      </c>
      <c r="I29" s="60">
        <f t="shared" si="7"/>
        <v>3798694.7957403124</v>
      </c>
      <c r="J29" s="60">
        <f t="shared" si="7"/>
        <v>3923375.2441046117</v>
      </c>
      <c r="K29" s="60">
        <f t="shared" si="7"/>
        <v>4030035.3088008971</v>
      </c>
      <c r="L29" s="60">
        <f t="shared" si="7"/>
        <v>4150936.3680649241</v>
      </c>
      <c r="M29" s="67">
        <f t="shared" si="7"/>
        <v>4275464.4591068719</v>
      </c>
    </row>
    <row r="30" spans="2:13" s="56" customFormat="1" ht="15.5" x14ac:dyDescent="0.35">
      <c r="B30" s="59" t="str">
        <f>'Operating Cash Flow'!B47</f>
        <v>Food and Beverage Profit</v>
      </c>
      <c r="C30" s="60"/>
      <c r="D30" s="60">
        <f t="shared" ref="D30:M32" si="8">D18-D24</f>
        <v>310403.875</v>
      </c>
      <c r="E30" s="60">
        <f t="shared" si="8"/>
        <v>471600.63997000013</v>
      </c>
      <c r="F30" s="60">
        <f t="shared" si="8"/>
        <v>518401.52844399982</v>
      </c>
      <c r="G30" s="60">
        <f t="shared" si="8"/>
        <v>564772.53408539761</v>
      </c>
      <c r="H30" s="60">
        <f t="shared" si="8"/>
        <v>614902.12635248504</v>
      </c>
      <c r="I30" s="60">
        <f t="shared" si="8"/>
        <v>633349.19014306017</v>
      </c>
      <c r="J30" s="60">
        <f t="shared" si="8"/>
        <v>654086.24177507102</v>
      </c>
      <c r="K30" s="60">
        <f t="shared" si="8"/>
        <v>671920.15582277253</v>
      </c>
      <c r="L30" s="60">
        <f t="shared" si="8"/>
        <v>692077.76049745572</v>
      </c>
      <c r="M30" s="67">
        <f t="shared" si="8"/>
        <v>712840.0933123799</v>
      </c>
    </row>
    <row r="31" spans="2:13" s="56" customFormat="1" ht="16" thickBot="1" x14ac:dyDescent="0.4">
      <c r="B31" s="68" t="str">
        <f>'Operating Cash Flow'!B52</f>
        <v>Other Operating Departments</v>
      </c>
      <c r="C31" s="69"/>
      <c r="D31" s="69">
        <f t="shared" si="8"/>
        <v>288450</v>
      </c>
      <c r="E31" s="69">
        <f t="shared" si="8"/>
        <v>295254.5</v>
      </c>
      <c r="F31" s="69">
        <f t="shared" si="8"/>
        <v>302226.64500000002</v>
      </c>
      <c r="G31" s="69">
        <f t="shared" si="8"/>
        <v>309370.73944999999</v>
      </c>
      <c r="H31" s="69">
        <f t="shared" si="8"/>
        <v>316691.20248450001</v>
      </c>
      <c r="I31" s="69">
        <f t="shared" si="8"/>
        <v>324192.57107454503</v>
      </c>
      <c r="J31" s="69">
        <f t="shared" si="8"/>
        <v>331879.50326856645</v>
      </c>
      <c r="K31" s="69">
        <f t="shared" si="8"/>
        <v>339756.78152456885</v>
      </c>
      <c r="L31" s="69">
        <f t="shared" si="8"/>
        <v>347829.31613628397</v>
      </c>
      <c r="M31" s="70">
        <f t="shared" si="8"/>
        <v>356102.14875599265</v>
      </c>
    </row>
    <row r="32" spans="2:13" s="56" customFormat="1" ht="15.5" x14ac:dyDescent="0.35">
      <c r="B32" s="71" t="s">
        <v>123</v>
      </c>
      <c r="C32" s="63"/>
      <c r="D32" s="63">
        <f t="shared" si="8"/>
        <v>2419291.375</v>
      </c>
      <c r="E32" s="63">
        <f t="shared" si="8"/>
        <v>3579431.0774699999</v>
      </c>
      <c r="F32" s="63">
        <f t="shared" si="8"/>
        <v>3919177.585444001</v>
      </c>
      <c r="G32" s="63">
        <f t="shared" si="8"/>
        <v>4255853.327241648</v>
      </c>
      <c r="H32" s="63">
        <f t="shared" si="8"/>
        <v>4619646.5285848612</v>
      </c>
      <c r="I32" s="63">
        <f t="shared" si="8"/>
        <v>4756236.5569579192</v>
      </c>
      <c r="J32" s="63">
        <f t="shared" si="8"/>
        <v>4909340.989148248</v>
      </c>
      <c r="K32" s="63">
        <f t="shared" si="8"/>
        <v>5041712.246148238</v>
      </c>
      <c r="L32" s="63">
        <f t="shared" si="8"/>
        <v>5190843.4446986644</v>
      </c>
      <c r="M32" s="72">
        <f t="shared" si="8"/>
        <v>5344406.7011752464</v>
      </c>
    </row>
    <row r="33" spans="2:13" s="56" customFormat="1" ht="15.5" x14ac:dyDescent="0.35">
      <c r="B33" s="66"/>
      <c r="C33" s="60"/>
      <c r="D33" s="60"/>
      <c r="M33" s="58"/>
    </row>
    <row r="34" spans="2:13" s="56" customFormat="1" ht="15.5" x14ac:dyDescent="0.35">
      <c r="B34" s="57" t="s">
        <v>98</v>
      </c>
      <c r="C34" s="60"/>
      <c r="D34" s="60"/>
      <c r="M34" s="74"/>
    </row>
    <row r="35" spans="2:13" s="56" customFormat="1" ht="15.5" x14ac:dyDescent="0.35">
      <c r="B35" s="66" t="s">
        <v>149</v>
      </c>
      <c r="C35" s="60"/>
      <c r="D35" s="60">
        <f>'Operating Cash Flow'!C67*D13</f>
        <v>607778.25</v>
      </c>
      <c r="E35" s="60">
        <f>'Operating Cash Flow'!D67*E13</f>
        <v>875149.96227000002</v>
      </c>
      <c r="F35" s="60">
        <f>'Operating Cash Flow'!E67*F13</f>
        <v>954450.48390400014</v>
      </c>
      <c r="G35" s="60">
        <f>'Operating Cash Flow'!F67*G13</f>
        <v>1033087.6773705931</v>
      </c>
      <c r="H35" s="60">
        <f>'Operating Cash Flow'!G67*H13</f>
        <v>1117982.4492845847</v>
      </c>
      <c r="I35" s="60">
        <f>'Operating Cash Flow'!H67*I13</f>
        <v>1150824.2181990822</v>
      </c>
      <c r="J35" s="60">
        <f>'Operating Cash Flow'!I67*J13</f>
        <v>1187495.9146731552</v>
      </c>
      <c r="K35" s="60">
        <f>'Operating Cash Flow'!J67*K13</f>
        <v>1219458.282409779</v>
      </c>
      <c r="L35" s="60">
        <f>'Operating Cash Flow'!K67*L13</f>
        <v>1255309.4687324222</v>
      </c>
      <c r="M35" s="74">
        <f>'Operating Cash Flow'!L67*M13</f>
        <v>1292224.1554120104</v>
      </c>
    </row>
    <row r="36" spans="2:13" s="56" customFormat="1" ht="15.5" x14ac:dyDescent="0.35">
      <c r="B36" s="66"/>
      <c r="C36" s="60"/>
      <c r="D36" s="60"/>
      <c r="M36" s="74"/>
    </row>
    <row r="37" spans="2:13" s="56" customFormat="1" ht="15.5" x14ac:dyDescent="0.35">
      <c r="B37" s="57" t="s">
        <v>150</v>
      </c>
      <c r="C37" s="60"/>
      <c r="D37" s="73">
        <f>D32-D35</f>
        <v>1811513.125</v>
      </c>
      <c r="E37" s="73">
        <f t="shared" ref="E37:M37" si="9">E32-E35</f>
        <v>2704281.1151999999</v>
      </c>
      <c r="F37" s="73">
        <f t="shared" si="9"/>
        <v>2964727.1015400011</v>
      </c>
      <c r="G37" s="73">
        <f t="shared" si="9"/>
        <v>3222765.649871055</v>
      </c>
      <c r="H37" s="73">
        <f t="shared" si="9"/>
        <v>3501664.0793002765</v>
      </c>
      <c r="I37" s="73">
        <f t="shared" si="9"/>
        <v>3605412.338758837</v>
      </c>
      <c r="J37" s="73">
        <f t="shared" si="9"/>
        <v>3721845.0744750928</v>
      </c>
      <c r="K37" s="73">
        <f t="shared" si="9"/>
        <v>3822253.9637384592</v>
      </c>
      <c r="L37" s="73">
        <f t="shared" si="9"/>
        <v>3935533.9759662421</v>
      </c>
      <c r="M37" s="74">
        <f t="shared" si="9"/>
        <v>4052182.545763236</v>
      </c>
    </row>
    <row r="38" spans="2:13" s="56" customFormat="1" ht="15.5" x14ac:dyDescent="0.35">
      <c r="B38" s="66"/>
      <c r="C38" s="60"/>
      <c r="D38" s="60"/>
      <c r="M38" s="74"/>
    </row>
    <row r="39" spans="2:13" s="56" customFormat="1" ht="15.5" x14ac:dyDescent="0.35">
      <c r="B39" s="57" t="s">
        <v>151</v>
      </c>
      <c r="C39" s="60"/>
      <c r="D39" s="60"/>
      <c r="M39" s="74"/>
    </row>
    <row r="40" spans="2:13" s="56" customFormat="1" ht="15.5" x14ac:dyDescent="0.35">
      <c r="B40" s="59" t="s">
        <v>164</v>
      </c>
      <c r="C40" s="60"/>
      <c r="D40" s="60">
        <f>'Operating Cash Flow'!C74*D13</f>
        <v>143255.70000000001</v>
      </c>
      <c r="E40" s="60">
        <f>'Operating Cash Flow'!D74*E13</f>
        <v>223375.26049899997</v>
      </c>
      <c r="F40" s="60">
        <f>'Operating Cash Flow'!E74*F13</f>
        <v>246781.79554480006</v>
      </c>
      <c r="G40" s="60">
        <f>'Operating Cash Flow'!F74*G13</f>
        <v>269975.25424740912</v>
      </c>
      <c r="H40" s="60">
        <f>'Operating Cash Flow'!G74*H13</f>
        <v>295040.89534467942</v>
      </c>
      <c r="I40" s="60">
        <f>'Operating Cash Flow'!H74*I13</f>
        <v>304399.58211099578</v>
      </c>
      <c r="J40" s="60">
        <f>'Operating Cash Flow'!I74*J13</f>
        <v>314898.20391978882</v>
      </c>
      <c r="K40" s="60">
        <f>'Operating Cash Flow'!J74*K13</f>
        <v>323961.93890299287</v>
      </c>
      <c r="L40" s="60">
        <f>'Operating Cash Flow'!K74*L13</f>
        <v>334182.51559330802</v>
      </c>
      <c r="M40" s="74">
        <f>'Operating Cash Flow'!L74*M13</f>
        <v>344707.71822354879</v>
      </c>
    </row>
    <row r="41" spans="2:13" s="56" customFormat="1" ht="15.5" x14ac:dyDescent="0.35">
      <c r="B41" s="66"/>
      <c r="C41" s="60"/>
      <c r="D41" s="60"/>
      <c r="M41" s="74"/>
    </row>
    <row r="42" spans="2:13" s="56" customFormat="1" ht="15.5" x14ac:dyDescent="0.35">
      <c r="B42" s="57" t="s">
        <v>144</v>
      </c>
      <c r="C42" s="60"/>
      <c r="D42" s="60"/>
      <c r="M42" s="74"/>
    </row>
    <row r="43" spans="2:13" s="56" customFormat="1" ht="15.5" x14ac:dyDescent="0.35">
      <c r="B43" s="59" t="s">
        <v>165</v>
      </c>
      <c r="C43" s="60"/>
      <c r="D43" s="60">
        <f>'Operating Cash Flow'!C77*D13</f>
        <v>42341.8125</v>
      </c>
      <c r="E43" s="60">
        <f>'Operating Cash Flow'!D77*E13</f>
        <v>63096.546065000002</v>
      </c>
      <c r="F43" s="60">
        <f>'Operating Cash Flow'!E77*F13</f>
        <v>69162.417838000008</v>
      </c>
      <c r="G43" s="60">
        <f>'Operating Cash Flow'!F77*G13</f>
        <v>75173.313749995999</v>
      </c>
      <c r="H43" s="60">
        <f>'Operating Cash Flow'!G77*H13</f>
        <v>81669.20458622463</v>
      </c>
      <c r="I43" s="60">
        <f>'Operating Cash Flow'!H77*I13</f>
        <v>84097.11177860637</v>
      </c>
      <c r="J43" s="60">
        <f>'Operating Cash Flow'!I77*J13</f>
        <v>86820.434143428996</v>
      </c>
      <c r="K43" s="60">
        <f>'Operating Cash Flow'!J77*K13</f>
        <v>89172.286542741218</v>
      </c>
      <c r="L43" s="60">
        <f>'Operating Cash Flow'!K77*L13</f>
        <v>91823.945357994395</v>
      </c>
      <c r="M43" s="74">
        <f>'Operating Cash Flow'!L77*M13</f>
        <v>94554.689102761375</v>
      </c>
    </row>
    <row r="44" spans="2:13" s="56" customFormat="1" ht="15.5" x14ac:dyDescent="0.35">
      <c r="B44" s="66"/>
      <c r="C44" s="60"/>
      <c r="D44" s="60"/>
      <c r="M44" s="74"/>
    </row>
    <row r="45" spans="2:13" s="56" customFormat="1" ht="15.5" x14ac:dyDescent="0.35">
      <c r="B45" s="57" t="s">
        <v>158</v>
      </c>
      <c r="C45" s="73"/>
      <c r="D45" s="73">
        <f>D37-(D40+D43)</f>
        <v>1625915.6125</v>
      </c>
      <c r="E45" s="73">
        <f t="shared" ref="E45:M45" si="10">E37-(E40+E43)</f>
        <v>2417809.3086359999</v>
      </c>
      <c r="F45" s="73">
        <f t="shared" si="10"/>
        <v>2648782.888157201</v>
      </c>
      <c r="G45" s="73">
        <f t="shared" si="10"/>
        <v>2877617.0818736497</v>
      </c>
      <c r="H45" s="73">
        <f t="shared" si="10"/>
        <v>3124953.9793693726</v>
      </c>
      <c r="I45" s="73">
        <f t="shared" si="10"/>
        <v>3216915.6448692349</v>
      </c>
      <c r="J45" s="73">
        <f t="shared" si="10"/>
        <v>3320126.4364118748</v>
      </c>
      <c r="K45" s="73">
        <f t="shared" si="10"/>
        <v>3409119.7382927248</v>
      </c>
      <c r="L45" s="73">
        <f t="shared" si="10"/>
        <v>3509527.5150149399</v>
      </c>
      <c r="M45" s="74">
        <f t="shared" si="10"/>
        <v>3612920.1384369256</v>
      </c>
    </row>
    <row r="46" spans="2:13" s="56" customFormat="1" ht="15.5" x14ac:dyDescent="0.35">
      <c r="B46" s="59" t="str">
        <f>'Operating Cash Flow'!B80</f>
        <v>Capital &amp; FF&amp;E Reserve</v>
      </c>
      <c r="C46" s="60"/>
      <c r="D46" s="60">
        <f>'Operating Cash Flow'!C80*D13</f>
        <v>84683.625</v>
      </c>
      <c r="E46" s="60">
        <f>'Operating Cash Flow'!D80*E13</f>
        <v>126193.09213</v>
      </c>
      <c r="F46" s="60">
        <f>'Operating Cash Flow'!E80*F13</f>
        <v>138324.83567600002</v>
      </c>
      <c r="G46" s="60">
        <f>'Operating Cash Flow'!F80*G13</f>
        <v>150346.627499992</v>
      </c>
      <c r="H46" s="60">
        <f>'Operating Cash Flow'!G80*H13</f>
        <v>163338.40917244926</v>
      </c>
      <c r="I46" s="60">
        <f>'Operating Cash Flow'!H80*I13</f>
        <v>168194.22355721274</v>
      </c>
      <c r="J46" s="60">
        <f>'Operating Cash Flow'!I80*J13</f>
        <v>173640.86828685799</v>
      </c>
      <c r="K46" s="60">
        <f>'Operating Cash Flow'!J80*K13</f>
        <v>178344.57308548244</v>
      </c>
      <c r="L46" s="60">
        <f>'Operating Cash Flow'!K80*L13</f>
        <v>183647.89071598879</v>
      </c>
      <c r="M46" s="74">
        <f>'Operating Cash Flow'!L80*M13</f>
        <v>189109.37820552275</v>
      </c>
    </row>
    <row r="47" spans="2:13" s="56" customFormat="1" ht="15.5" x14ac:dyDescent="0.35">
      <c r="B47" s="59" t="str">
        <f>'Operating Cash Flow'!B81</f>
        <v>Taxes</v>
      </c>
      <c r="C47" s="60"/>
      <c r="D47" s="60">
        <f>'Operating Cash Flow'!C81*D13</f>
        <v>358923.96637500002</v>
      </c>
      <c r="E47" s="60">
        <f>'Operating Cash Flow'!D81*E13</f>
        <v>509383.76864083996</v>
      </c>
      <c r="F47" s="60">
        <f>'Operating Cash Flow'!E81*F13</f>
        <v>553268.74874986825</v>
      </c>
      <c r="G47" s="60">
        <f>'Operating Cash Flow'!F81*G13</f>
        <v>596747.2455559934</v>
      </c>
      <c r="H47" s="60">
        <f>'Operating Cash Flow'!G81*H13</f>
        <v>643741.25608018076</v>
      </c>
      <c r="I47" s="60">
        <f>'Operating Cash Flow'!H81*I13</f>
        <v>661213.97252515424</v>
      </c>
      <c r="J47" s="60">
        <f>'Operating Cash Flow'!I81*J13</f>
        <v>680824.02291825623</v>
      </c>
      <c r="K47" s="60">
        <f>'Operating Cash Flow'!J81*K13</f>
        <v>697732.75027561805</v>
      </c>
      <c r="L47" s="60">
        <f>'Operating Cash Flow'!K81*L13</f>
        <v>716810.22785283858</v>
      </c>
      <c r="M47" s="74">
        <f>'Operating Cash Flow'!L81*M13</f>
        <v>736454.82630301546</v>
      </c>
    </row>
    <row r="48" spans="2:13" s="56" customFormat="1" ht="15.5" x14ac:dyDescent="0.35">
      <c r="B48" s="66"/>
      <c r="C48" s="60"/>
      <c r="D48" s="60"/>
      <c r="M48" s="74"/>
    </row>
    <row r="49" spans="2:15" s="56" customFormat="1" ht="15.5" x14ac:dyDescent="0.35">
      <c r="B49" s="57" t="s">
        <v>160</v>
      </c>
      <c r="C49" s="73"/>
      <c r="D49" s="73">
        <f>D45-(D46+D47)</f>
        <v>1182308.021125</v>
      </c>
      <c r="E49" s="73">
        <f t="shared" ref="E49:M49" si="11">E45-(E46+E47)</f>
        <v>1782232.4478651599</v>
      </c>
      <c r="F49" s="73">
        <f t="shared" si="11"/>
        <v>1957189.3037313328</v>
      </c>
      <c r="G49" s="73">
        <f t="shared" si="11"/>
        <v>2130523.2088176645</v>
      </c>
      <c r="H49" s="73">
        <f t="shared" si="11"/>
        <v>2317874.3141167425</v>
      </c>
      <c r="I49" s="73">
        <f t="shared" si="11"/>
        <v>2387507.4487868678</v>
      </c>
      <c r="J49" s="73">
        <f t="shared" si="11"/>
        <v>2465661.5452067605</v>
      </c>
      <c r="K49" s="73">
        <f t="shared" si="11"/>
        <v>2533042.4149316242</v>
      </c>
      <c r="L49" s="73">
        <f t="shared" si="11"/>
        <v>2609069.3964461125</v>
      </c>
      <c r="M49" s="74">
        <f t="shared" si="11"/>
        <v>2687355.9339283872</v>
      </c>
    </row>
    <row r="50" spans="2:15" s="56" customFormat="1" ht="15.5" x14ac:dyDescent="0.35">
      <c r="B50" s="66"/>
      <c r="C50" s="60"/>
      <c r="D50" s="60"/>
      <c r="M50" s="74"/>
    </row>
    <row r="51" spans="2:15" s="56" customFormat="1" ht="15.5" x14ac:dyDescent="0.35">
      <c r="B51" s="57" t="s">
        <v>51</v>
      </c>
      <c r="C51" s="60"/>
      <c r="D51" s="60"/>
      <c r="M51" s="74"/>
    </row>
    <row r="52" spans="2:15" s="56" customFormat="1" ht="15.5" x14ac:dyDescent="0.35">
      <c r="B52" s="59" t="s">
        <v>166</v>
      </c>
      <c r="C52" s="60"/>
      <c r="D52" s="60">
        <f>IF(D4=Summary!$C$13,Summary!$C$46,0)</f>
        <v>0</v>
      </c>
      <c r="E52" s="60">
        <f>IF(E4=Summary!$C$13,Summary!$C$46,0)</f>
        <v>0</v>
      </c>
      <c r="F52" s="60">
        <f>IF(F4=Summary!$C$13,Summary!$C$46,0)</f>
        <v>0</v>
      </c>
      <c r="G52" s="60">
        <f>IF(G4=Summary!$C$13,Summary!$C$46,0)</f>
        <v>0</v>
      </c>
      <c r="H52" s="60">
        <f>IF(H4=Summary!$C$13,Summary!$C$46,0)</f>
        <v>0</v>
      </c>
      <c r="I52" s="60">
        <f>IF(I4=Summary!$C$13,Summary!$C$46,0)</f>
        <v>0</v>
      </c>
      <c r="J52" s="60">
        <f>IF(J4=Summary!$C$13,Summary!$C$46,0)</f>
        <v>0</v>
      </c>
      <c r="K52" s="60">
        <f>IF(K4=Summary!$C$13,Summary!$C$46,0)</f>
        <v>0</v>
      </c>
      <c r="L52" s="60">
        <f>IF(L4=Summary!$C$13,Summary!$C$46,0)</f>
        <v>0</v>
      </c>
      <c r="M52" s="67">
        <f>IF(M4=Summary!$C$13,Summary!$C$46,0)</f>
        <v>44789265.565473124</v>
      </c>
    </row>
    <row r="53" spans="2:15" s="56" customFormat="1" ht="16" thickBot="1" x14ac:dyDescent="0.4">
      <c r="B53" s="68" t="s">
        <v>167</v>
      </c>
      <c r="C53" s="69"/>
      <c r="D53" s="69">
        <f>IF(D4=Summary!$C$13,Summary!$C$48,0)</f>
        <v>0</v>
      </c>
      <c r="E53" s="69">
        <f>IF(E4=Summary!$C$13,Summary!$C$48,0)</f>
        <v>0</v>
      </c>
      <c r="F53" s="69">
        <f>IF(F4=Summary!$C$13,Summary!$C$48,0)</f>
        <v>0</v>
      </c>
      <c r="G53" s="69">
        <f>IF(G4=Summary!$C$13,Summary!$C$48,0)</f>
        <v>0</v>
      </c>
      <c r="H53" s="69">
        <f>IF(H4=Summary!$C$13,Summary!$C$48,0)</f>
        <v>0</v>
      </c>
      <c r="I53" s="69">
        <f>IF(I4=Summary!$C$13,Summary!$C$48,0)</f>
        <v>0</v>
      </c>
      <c r="J53" s="69">
        <f>IF(J4=Summary!$C$13,Summary!$C$48,0)</f>
        <v>0</v>
      </c>
      <c r="K53" s="69">
        <f>IF(K4=Summary!$C$13,Summary!$C$48,0)</f>
        <v>0</v>
      </c>
      <c r="L53" s="69">
        <f>IF(L4=Summary!$C$13,Summary!$C$48,0)</f>
        <v>0</v>
      </c>
      <c r="M53" s="70">
        <f>IF(M4=Summary!$C$13,Summary!$C$48,0)</f>
        <v>1343677.9669641936</v>
      </c>
    </row>
    <row r="54" spans="2:15" s="56" customFormat="1" ht="15.5" x14ac:dyDescent="0.35">
      <c r="B54" s="75" t="s">
        <v>168</v>
      </c>
      <c r="C54" s="63"/>
      <c r="D54" s="63">
        <f>D52-D53</f>
        <v>0</v>
      </c>
      <c r="E54" s="63">
        <f t="shared" ref="E54:M54" si="12">E52-E53</f>
        <v>0</v>
      </c>
      <c r="F54" s="63">
        <f t="shared" si="12"/>
        <v>0</v>
      </c>
      <c r="G54" s="63">
        <f t="shared" si="12"/>
        <v>0</v>
      </c>
      <c r="H54" s="63">
        <f t="shared" si="12"/>
        <v>0</v>
      </c>
      <c r="I54" s="63">
        <f t="shared" si="12"/>
        <v>0</v>
      </c>
      <c r="J54" s="63">
        <f t="shared" si="12"/>
        <v>0</v>
      </c>
      <c r="K54" s="63">
        <f t="shared" si="12"/>
        <v>0</v>
      </c>
      <c r="L54" s="63">
        <f t="shared" si="12"/>
        <v>0</v>
      </c>
      <c r="M54" s="72">
        <f t="shared" si="12"/>
        <v>43445587.598508932</v>
      </c>
    </row>
    <row r="55" spans="2:15" s="56" customFormat="1" ht="15.5" x14ac:dyDescent="0.35">
      <c r="B55" s="66"/>
      <c r="C55" s="60"/>
      <c r="D55" s="60"/>
      <c r="M55" s="58"/>
    </row>
    <row r="56" spans="2:15" s="56" customFormat="1" ht="15.5" x14ac:dyDescent="0.35">
      <c r="B56" s="57" t="s">
        <v>169</v>
      </c>
      <c r="C56" s="60"/>
      <c r="D56" s="60"/>
      <c r="M56" s="74"/>
      <c r="O56" s="121"/>
    </row>
    <row r="57" spans="2:15" s="56" customFormat="1" ht="15.5" x14ac:dyDescent="0.35">
      <c r="B57" s="59" t="s">
        <v>170</v>
      </c>
      <c r="C57" s="60">
        <f>Summary!C38</f>
        <v>18000000</v>
      </c>
      <c r="D57" s="60"/>
      <c r="M57" s="74"/>
    </row>
    <row r="58" spans="2:15" s="56" customFormat="1" ht="15.5" x14ac:dyDescent="0.35">
      <c r="B58" s="59" t="s">
        <v>171</v>
      </c>
      <c r="C58" s="60"/>
      <c r="D58" s="60">
        <f>IF(D4&lt;=Summary!$C$34,Summary!$C$39,Summary!$C$40)*D13</f>
        <v>900000</v>
      </c>
      <c r="E58" s="60">
        <f>IF(E4&lt;=Summary!$C$34,Summary!$C$39,Summary!$C$40)*E13</f>
        <v>900000</v>
      </c>
      <c r="F58" s="60">
        <f>IF(F4&lt;=Summary!$C$34,Summary!$C$39,Summary!$C$40)*F13</f>
        <v>900000</v>
      </c>
      <c r="G58" s="60">
        <f>IF(G4&lt;=Summary!$C$34,Summary!$C$39,Summary!$C$40)*G13</f>
        <v>1159534.7057062206</v>
      </c>
      <c r="H58" s="60">
        <f>IF(H4&lt;=Summary!$C$34,Summary!$C$39,Summary!$C$40)*H13</f>
        <v>1159534.7057062206</v>
      </c>
      <c r="I58" s="60">
        <f>IF(I4&lt;=Summary!$C$34,Summary!$C$39,Summary!$C$40)*I13</f>
        <v>1159534.7057062206</v>
      </c>
      <c r="J58" s="60">
        <f>IF(J4&lt;=Summary!$C$34,Summary!$C$39,Summary!$C$40)*J13</f>
        <v>1159534.7057062206</v>
      </c>
      <c r="K58" s="60">
        <f>IF(K4&lt;=Summary!$C$34,Summary!$C$39,Summary!$C$40)*K13</f>
        <v>1159534.7057062206</v>
      </c>
      <c r="L58" s="60">
        <f>IF(L4&lt;=Summary!$C$34,Summary!$C$39,Summary!$C$40)*L13</f>
        <v>1159534.7057062206</v>
      </c>
      <c r="M58" s="74">
        <f>IF(M4&lt;=Summary!$C$34,Summary!$C$39,Summary!$C$40)*M13</f>
        <v>1159534.7057062206</v>
      </c>
    </row>
    <row r="59" spans="2:15" s="56" customFormat="1" ht="15.5" x14ac:dyDescent="0.35">
      <c r="B59" s="59" t="s">
        <v>172</v>
      </c>
      <c r="C59" s="60"/>
      <c r="D59" s="60">
        <f>Summary!$C$41*D14</f>
        <v>0</v>
      </c>
      <c r="E59" s="60">
        <f>Summary!$C$41*E14</f>
        <v>0</v>
      </c>
      <c r="F59" s="60">
        <f>Summary!$C$41*F14</f>
        <v>0</v>
      </c>
      <c r="G59" s="60">
        <f>Summary!$C$41*G14</f>
        <v>0</v>
      </c>
      <c r="H59" s="60">
        <f>Summary!$C$41*H14</f>
        <v>0</v>
      </c>
      <c r="I59" s="60">
        <f>Summary!$C$41*I14</f>
        <v>0</v>
      </c>
      <c r="J59" s="60">
        <f>Summary!$C$41*J14</f>
        <v>0</v>
      </c>
      <c r="K59" s="60">
        <f>Summary!$C$41*K14</f>
        <v>0</v>
      </c>
      <c r="L59" s="60">
        <f>Summary!$C$41*L14</f>
        <v>0</v>
      </c>
      <c r="M59" s="74">
        <f>Summary!$C$41*M14</f>
        <v>15830102.724218471</v>
      </c>
    </row>
    <row r="60" spans="2:15" s="56" customFormat="1" ht="15.5" x14ac:dyDescent="0.35">
      <c r="B60" s="59"/>
      <c r="C60" s="60"/>
      <c r="D60" s="60"/>
      <c r="M60" s="74"/>
    </row>
    <row r="61" spans="2:15" s="56" customFormat="1" ht="15.5" x14ac:dyDescent="0.35">
      <c r="B61" s="76" t="s">
        <v>173</v>
      </c>
      <c r="C61" s="73">
        <f>C11+C49+C54</f>
        <v>-30680000</v>
      </c>
      <c r="D61" s="73">
        <f>-D11+D49+D54</f>
        <v>1182308.021125</v>
      </c>
      <c r="E61" s="73">
        <f t="shared" ref="E61:M61" si="13">-E11+E49+E54</f>
        <v>1782232.4478651599</v>
      </c>
      <c r="F61" s="73">
        <f t="shared" si="13"/>
        <v>1957189.3037313328</v>
      </c>
      <c r="G61" s="73">
        <f t="shared" si="13"/>
        <v>2130523.2088176645</v>
      </c>
      <c r="H61" s="73">
        <f t="shared" si="13"/>
        <v>2317874.3141167425</v>
      </c>
      <c r="I61" s="73">
        <f t="shared" si="13"/>
        <v>2387507.4487868678</v>
      </c>
      <c r="J61" s="73">
        <f t="shared" si="13"/>
        <v>2465661.5452067605</v>
      </c>
      <c r="K61" s="73">
        <f t="shared" si="13"/>
        <v>2533042.4149316242</v>
      </c>
      <c r="L61" s="73">
        <f t="shared" si="13"/>
        <v>2609069.3964461125</v>
      </c>
      <c r="M61" s="74">
        <f t="shared" si="13"/>
        <v>46132943.532437317</v>
      </c>
    </row>
    <row r="62" spans="2:15" s="56" customFormat="1" ht="15.5" x14ac:dyDescent="0.35">
      <c r="B62" s="66"/>
      <c r="C62" s="60"/>
      <c r="D62" s="60"/>
      <c r="M62" s="58"/>
    </row>
    <row r="63" spans="2:15" s="56" customFormat="1" ht="16" thickBot="1" x14ac:dyDescent="0.4">
      <c r="B63" s="77" t="s">
        <v>175</v>
      </c>
      <c r="C63" s="78">
        <f>(C11+C57)+C49+C54-C58-C59</f>
        <v>-12680000</v>
      </c>
      <c r="D63" s="78">
        <f>(D11+D57)+D49+D54-D58-D59</f>
        <v>282308.02112499997</v>
      </c>
      <c r="E63" s="78">
        <f t="shared" ref="E63:L63" si="14">(E11+E57)+E49+E54-E58-E59</f>
        <v>882232.44786515995</v>
      </c>
      <c r="F63" s="78">
        <f t="shared" si="14"/>
        <v>1057189.3037313328</v>
      </c>
      <c r="G63" s="78">
        <f>(G11+G57)+G49+G54-G58-G59</f>
        <v>970988.50311144395</v>
      </c>
      <c r="H63" s="78">
        <f t="shared" si="14"/>
        <v>1158339.6084105219</v>
      </c>
      <c r="I63" s="78">
        <f t="shared" si="14"/>
        <v>1227972.7430806472</v>
      </c>
      <c r="J63" s="78">
        <f>(J11+J57)+J49+J54-J58-J59</f>
        <v>1306126.8395005399</v>
      </c>
      <c r="K63" s="78">
        <f t="shared" si="14"/>
        <v>1373507.7092254036</v>
      </c>
      <c r="L63" s="78">
        <f t="shared" si="14"/>
        <v>1449534.690739892</v>
      </c>
      <c r="M63" s="79">
        <f>(M11+M57)+M49+M54-M58-M59</f>
        <v>29143306.10251262</v>
      </c>
    </row>
    <row r="64" spans="2:15" s="56" customFormat="1" ht="16" thickBot="1" x14ac:dyDescent="0.4">
      <c r="C64" s="80"/>
      <c r="D64" s="80"/>
    </row>
    <row r="65" spans="2:13" s="56" customFormat="1" ht="15.5" x14ac:dyDescent="0.35">
      <c r="B65" s="94" t="s">
        <v>176</v>
      </c>
      <c r="C65" s="95"/>
      <c r="D65" s="95"/>
      <c r="E65" s="96"/>
      <c r="F65" s="96"/>
      <c r="G65" s="96"/>
      <c r="H65" s="96"/>
      <c r="I65" s="96"/>
      <c r="J65" s="96"/>
      <c r="K65" s="96"/>
      <c r="L65" s="96"/>
      <c r="M65" s="97"/>
    </row>
    <row r="66" spans="2:13" s="56" customFormat="1" ht="15.5" x14ac:dyDescent="0.35">
      <c r="B66" s="76" t="s">
        <v>177</v>
      </c>
      <c r="C66" s="60"/>
      <c r="D66" s="81">
        <f>D49/-$C$61</f>
        <v>3.8536767311766619E-2</v>
      </c>
      <c r="E66" s="81">
        <f t="shared" ref="E66:M66" si="15">E49/-$C$61</f>
        <v>5.8091018509294656E-2</v>
      </c>
      <c r="F66" s="81">
        <f t="shared" si="15"/>
        <v>6.3793653967774866E-2</v>
      </c>
      <c r="G66" s="81">
        <f t="shared" si="15"/>
        <v>6.944339011791606E-2</v>
      </c>
      <c r="H66" s="81">
        <f t="shared" si="15"/>
        <v>7.5550010238485732E-2</v>
      </c>
      <c r="I66" s="81">
        <f t="shared" si="15"/>
        <v>7.7819669126038715E-2</v>
      </c>
      <c r="J66" s="81">
        <f t="shared" si="15"/>
        <v>8.0367064706869634E-2</v>
      </c>
      <c r="K66" s="81">
        <f t="shared" si="15"/>
        <v>8.2563312090339777E-2</v>
      </c>
      <c r="L66" s="81">
        <f t="shared" si="15"/>
        <v>8.5041375373080597E-2</v>
      </c>
      <c r="M66" s="82">
        <f t="shared" si="15"/>
        <v>8.7593087807313799E-2</v>
      </c>
    </row>
    <row r="67" spans="2:13" s="56" customFormat="1" ht="16" thickBot="1" x14ac:dyDescent="0.4">
      <c r="B67" s="77" t="s">
        <v>178</v>
      </c>
      <c r="C67" s="69"/>
      <c r="D67" s="83">
        <f>(D49-D58)/-$C$63</f>
        <v>2.2264039520899052E-2</v>
      </c>
      <c r="E67" s="83">
        <f t="shared" ref="E67:M67" si="16">(E49-E58)/-$C$63</f>
        <v>6.957669147201577E-2</v>
      </c>
      <c r="F67" s="83">
        <f t="shared" si="16"/>
        <v>8.3374550767455272E-2</v>
      </c>
      <c r="G67" s="83">
        <f t="shared" si="16"/>
        <v>7.6576380371564987E-2</v>
      </c>
      <c r="H67" s="83">
        <f t="shared" si="16"/>
        <v>9.1351704133321915E-2</v>
      </c>
      <c r="I67" s="83">
        <f t="shared" si="16"/>
        <v>9.6843276268189837E-2</v>
      </c>
      <c r="J67" s="83">
        <f t="shared" si="16"/>
        <v>0.10300684854105205</v>
      </c>
      <c r="K67" s="83">
        <f t="shared" si="16"/>
        <v>0.10832079725752394</v>
      </c>
      <c r="L67" s="83">
        <f t="shared" si="16"/>
        <v>0.11431661598895047</v>
      </c>
      <c r="M67" s="84">
        <f t="shared" si="16"/>
        <v>0.12049063314054942</v>
      </c>
    </row>
    <row r="68" spans="2:13" s="56" customFormat="1" ht="16" thickBot="1" x14ac:dyDescent="0.4">
      <c r="C68" s="80"/>
      <c r="D68" s="80"/>
    </row>
    <row r="69" spans="2:13" s="56" customFormat="1" ht="15.5" x14ac:dyDescent="0.35">
      <c r="B69" s="94" t="s">
        <v>179</v>
      </c>
      <c r="C69" s="95"/>
      <c r="D69" s="95"/>
      <c r="E69" s="96"/>
      <c r="F69" s="96"/>
      <c r="G69" s="96"/>
      <c r="H69" s="96"/>
      <c r="I69" s="96"/>
      <c r="J69" s="96"/>
      <c r="K69" s="96"/>
      <c r="L69" s="96"/>
      <c r="M69" s="97"/>
    </row>
    <row r="70" spans="2:13" s="56" customFormat="1" ht="16" thickBot="1" x14ac:dyDescent="0.4">
      <c r="B70" s="77" t="s">
        <v>180</v>
      </c>
      <c r="C70" s="69"/>
      <c r="D70" s="85">
        <f t="shared" ref="D70:M70" si="17">IFERROR(D49/D58, "")</f>
        <v>1.3136755790277777</v>
      </c>
      <c r="E70" s="85">
        <f t="shared" si="17"/>
        <v>1.9802582754057332</v>
      </c>
      <c r="F70" s="85">
        <f t="shared" si="17"/>
        <v>2.174654781923703</v>
      </c>
      <c r="G70" s="85">
        <f t="shared" si="17"/>
        <v>1.8373949467256854</v>
      </c>
      <c r="H70" s="85">
        <f t="shared" si="17"/>
        <v>1.9989693302927307</v>
      </c>
      <c r="I70" s="85">
        <f t="shared" si="17"/>
        <v>2.0590219827294813</v>
      </c>
      <c r="J70" s="85">
        <f t="shared" si="17"/>
        <v>2.1264232394881502</v>
      </c>
      <c r="K70" s="85">
        <f t="shared" si="17"/>
        <v>2.1845335050914767</v>
      </c>
      <c r="L70" s="85">
        <f t="shared" si="17"/>
        <v>2.2501003062750464</v>
      </c>
      <c r="M70" s="218">
        <f t="shared" si="17"/>
        <v>2.3176157821784553</v>
      </c>
    </row>
    <row r="71" spans="2:13" s="56" customFormat="1" ht="16" thickBot="1" x14ac:dyDescent="0.4">
      <c r="C71" s="80"/>
      <c r="D71" s="80"/>
    </row>
    <row r="72" spans="2:13" s="56" customFormat="1" ht="15.5" x14ac:dyDescent="0.35">
      <c r="B72" s="94" t="s">
        <v>333</v>
      </c>
      <c r="C72" s="95"/>
      <c r="D72" s="95"/>
      <c r="E72" s="96"/>
      <c r="F72" s="96"/>
      <c r="G72" s="96"/>
      <c r="H72" s="96"/>
      <c r="I72" s="96"/>
      <c r="J72" s="96"/>
      <c r="K72" s="96"/>
      <c r="L72" s="96"/>
      <c r="M72" s="97"/>
    </row>
    <row r="73" spans="2:13" s="56" customFormat="1" ht="16" thickBot="1" x14ac:dyDescent="0.4">
      <c r="B73" s="77" t="s">
        <v>44</v>
      </c>
      <c r="C73" s="492">
        <f>C63</f>
        <v>-12680000</v>
      </c>
      <c r="D73" s="492">
        <f>D63+C73</f>
        <v>-12397691.978875</v>
      </c>
      <c r="E73" s="492">
        <f t="shared" ref="E73:M73" si="18">E63+D73</f>
        <v>-11515459.53100984</v>
      </c>
      <c r="F73" s="492">
        <f t="shared" si="18"/>
        <v>-10458270.227278506</v>
      </c>
      <c r="G73" s="492">
        <f t="shared" si="18"/>
        <v>-9487281.724167062</v>
      </c>
      <c r="H73" s="492">
        <f t="shared" si="18"/>
        <v>-8328942.1157565396</v>
      </c>
      <c r="I73" s="492">
        <f t="shared" si="18"/>
        <v>-7100969.372675892</v>
      </c>
      <c r="J73" s="492">
        <f t="shared" si="18"/>
        <v>-5794842.533175352</v>
      </c>
      <c r="K73" s="492">
        <f t="shared" si="18"/>
        <v>-4421334.823949948</v>
      </c>
      <c r="L73" s="492">
        <f t="shared" si="18"/>
        <v>-2971800.133210056</v>
      </c>
      <c r="M73" s="493">
        <f t="shared" si="18"/>
        <v>26171505.969302565</v>
      </c>
    </row>
    <row r="74" spans="2:13" s="56" customFormat="1" ht="15.5" x14ac:dyDescent="0.35">
      <c r="C74" s="80"/>
      <c r="D74" s="80"/>
      <c r="E74" s="80"/>
      <c r="F74" s="80"/>
      <c r="G74" s="80"/>
      <c r="H74" s="80"/>
      <c r="I74" s="80"/>
      <c r="J74" s="80"/>
      <c r="K74" s="80"/>
      <c r="L74" s="80"/>
      <c r="M74" s="80"/>
    </row>
    <row r="75" spans="2:13" s="56" customFormat="1" ht="15.5" x14ac:dyDescent="0.35">
      <c r="C75" s="80"/>
      <c r="D75" s="80"/>
      <c r="E75" s="80"/>
      <c r="F75" s="80"/>
      <c r="G75" s="80"/>
      <c r="H75" s="80"/>
      <c r="I75" s="80"/>
      <c r="J75" s="80"/>
      <c r="K75" s="80"/>
      <c r="L75" s="80"/>
      <c r="M75" s="80"/>
    </row>
    <row r="76" spans="2:13" s="56" customFormat="1" ht="15.5" x14ac:dyDescent="0.35">
      <c r="C76" s="80"/>
      <c r="D76" s="80"/>
      <c r="E76" s="80"/>
      <c r="F76" s="80"/>
      <c r="G76" s="80"/>
      <c r="H76" s="80"/>
      <c r="I76" s="80"/>
      <c r="J76" s="80"/>
      <c r="K76" s="80"/>
      <c r="L76" s="80"/>
      <c r="M76" s="80"/>
    </row>
    <row r="77" spans="2:13" s="56" customFormat="1" ht="15.5" x14ac:dyDescent="0.35">
      <c r="C77" s="80"/>
      <c r="D77" s="80"/>
      <c r="E77" s="80"/>
      <c r="F77" s="80"/>
      <c r="G77" s="80"/>
      <c r="H77" s="80"/>
      <c r="I77" s="80"/>
      <c r="J77" s="80"/>
      <c r="K77" s="80"/>
      <c r="L77" s="80"/>
      <c r="M77" s="80"/>
    </row>
    <row r="78" spans="2:13" s="56" customFormat="1" ht="15.5" x14ac:dyDescent="0.35">
      <c r="C78" s="80"/>
      <c r="D78" s="80"/>
    </row>
    <row r="79" spans="2:13" s="56" customFormat="1" ht="15.5" x14ac:dyDescent="0.35">
      <c r="C79" s="80"/>
      <c r="D79" s="80"/>
      <c r="H79" s="121"/>
    </row>
    <row r="80" spans="2:13" s="56" customFormat="1" ht="15.5" x14ac:dyDescent="0.35">
      <c r="C80" s="80"/>
      <c r="D80" s="80"/>
    </row>
    <row r="81" spans="3:4" s="56" customFormat="1" ht="15.5" x14ac:dyDescent="0.35">
      <c r="C81" s="80"/>
      <c r="D81" s="80"/>
    </row>
    <row r="82" spans="3:4" s="56" customFormat="1" ht="15.5" x14ac:dyDescent="0.35">
      <c r="C82" s="80"/>
      <c r="D82" s="80"/>
    </row>
    <row r="83" spans="3:4" s="56" customFormat="1" ht="15.5" x14ac:dyDescent="0.35">
      <c r="C83" s="80"/>
      <c r="D83" s="80"/>
    </row>
    <row r="84" spans="3:4" s="56" customFormat="1" ht="15.5" x14ac:dyDescent="0.35">
      <c r="C84" s="80"/>
      <c r="D84" s="80"/>
    </row>
    <row r="85" spans="3:4" s="56" customFormat="1" ht="15.5" x14ac:dyDescent="0.35">
      <c r="C85" s="80"/>
      <c r="D85" s="80"/>
    </row>
    <row r="86" spans="3:4" s="56" customFormat="1" ht="15.5" x14ac:dyDescent="0.35">
      <c r="C86" s="80"/>
      <c r="D86" s="80"/>
    </row>
    <row r="87" spans="3:4" s="56" customFormat="1" ht="15.5" x14ac:dyDescent="0.35">
      <c r="C87" s="80"/>
      <c r="D87" s="80"/>
    </row>
    <row r="88" spans="3:4" s="56" customFormat="1" ht="15.5" x14ac:dyDescent="0.35">
      <c r="C88" s="80"/>
      <c r="D88" s="80"/>
    </row>
    <row r="89" spans="3:4" s="56" customFormat="1" ht="15.5" x14ac:dyDescent="0.35">
      <c r="C89" s="80"/>
      <c r="D89" s="80"/>
    </row>
    <row r="90" spans="3:4" s="56" customFormat="1" ht="15.5" x14ac:dyDescent="0.35">
      <c r="C90" s="80"/>
      <c r="D90" s="80"/>
    </row>
    <row r="91" spans="3:4" s="56" customFormat="1" ht="15.5" x14ac:dyDescent="0.35">
      <c r="C91" s="80"/>
      <c r="D91" s="80"/>
    </row>
    <row r="92" spans="3:4" s="56" customFormat="1" ht="15.5" x14ac:dyDescent="0.35">
      <c r="C92" s="80"/>
      <c r="D92" s="80"/>
    </row>
    <row r="93" spans="3:4" s="56" customFormat="1" ht="15.5" x14ac:dyDescent="0.35">
      <c r="C93" s="80"/>
      <c r="D93" s="80"/>
    </row>
    <row r="94" spans="3:4" s="56" customFormat="1" ht="15.5" x14ac:dyDescent="0.35">
      <c r="C94" s="80"/>
      <c r="D94" s="80"/>
    </row>
    <row r="95" spans="3:4" s="56" customFormat="1" ht="15.5" x14ac:dyDescent="0.35">
      <c r="C95" s="80"/>
      <c r="D95" s="80"/>
    </row>
    <row r="96" spans="3:4" s="56" customFormat="1" ht="15.5" x14ac:dyDescent="0.35">
      <c r="C96" s="80"/>
      <c r="D96" s="80"/>
    </row>
    <row r="97" spans="3:4" s="56" customFormat="1" ht="15.5" x14ac:dyDescent="0.35">
      <c r="C97" s="80"/>
      <c r="D97" s="80"/>
    </row>
    <row r="98" spans="3:4" s="56" customFormat="1" ht="15.5" x14ac:dyDescent="0.35">
      <c r="C98" s="80"/>
      <c r="D98" s="80"/>
    </row>
    <row r="99" spans="3:4" s="56" customFormat="1" ht="15.5" x14ac:dyDescent="0.35">
      <c r="C99" s="80"/>
      <c r="D99" s="80"/>
    </row>
    <row r="100" spans="3:4" s="56" customFormat="1" ht="15.5" x14ac:dyDescent="0.35">
      <c r="C100" s="80"/>
      <c r="D100" s="80"/>
    </row>
    <row r="101" spans="3:4" s="56" customFormat="1" ht="15.5" x14ac:dyDescent="0.35">
      <c r="C101" s="80"/>
      <c r="D101" s="80"/>
    </row>
    <row r="102" spans="3:4" s="56" customFormat="1" ht="15.5" x14ac:dyDescent="0.35">
      <c r="C102" s="80"/>
      <c r="D102" s="80"/>
    </row>
    <row r="103" spans="3:4" s="56" customFormat="1" ht="15.5" x14ac:dyDescent="0.35">
      <c r="C103" s="80"/>
      <c r="D103" s="80"/>
    </row>
    <row r="104" spans="3:4" s="56" customFormat="1" ht="15.5" x14ac:dyDescent="0.35">
      <c r="C104" s="80"/>
      <c r="D104" s="80"/>
    </row>
    <row r="105" spans="3:4" s="56" customFormat="1" ht="15.5" x14ac:dyDescent="0.35">
      <c r="C105" s="80"/>
      <c r="D105" s="80"/>
    </row>
    <row r="106" spans="3:4" s="56" customFormat="1" ht="15.5" x14ac:dyDescent="0.35">
      <c r="C106" s="80"/>
      <c r="D106" s="80"/>
    </row>
    <row r="107" spans="3:4" s="56" customFormat="1" ht="15.5" x14ac:dyDescent="0.35">
      <c r="C107" s="80"/>
      <c r="D107" s="80"/>
    </row>
    <row r="108" spans="3:4" s="56" customFormat="1" ht="15.5" x14ac:dyDescent="0.35">
      <c r="C108" s="80"/>
      <c r="D108" s="80"/>
    </row>
    <row r="109" spans="3:4" s="56" customFormat="1" ht="15.5" x14ac:dyDescent="0.35">
      <c r="C109" s="80"/>
      <c r="D109" s="80"/>
    </row>
    <row r="110" spans="3:4" s="56" customFormat="1" ht="15.5" x14ac:dyDescent="0.35">
      <c r="C110" s="80"/>
      <c r="D110" s="80"/>
    </row>
    <row r="111" spans="3:4" s="56" customFormat="1" ht="15.5" x14ac:dyDescent="0.35">
      <c r="C111" s="80"/>
      <c r="D111" s="80"/>
    </row>
    <row r="112" spans="3:4" s="56" customFormat="1" ht="15.5" x14ac:dyDescent="0.35">
      <c r="C112" s="80"/>
      <c r="D112" s="80"/>
    </row>
    <row r="113" spans="3:4" s="56" customFormat="1" ht="15.5" x14ac:dyDescent="0.35">
      <c r="C113" s="80"/>
      <c r="D113" s="80"/>
    </row>
    <row r="114" spans="3:4" s="56" customFormat="1" ht="15.5" x14ac:dyDescent="0.35">
      <c r="C114" s="80"/>
      <c r="D114" s="80"/>
    </row>
    <row r="115" spans="3:4" s="56" customFormat="1" ht="15.5" x14ac:dyDescent="0.35">
      <c r="C115" s="80"/>
      <c r="D115" s="80"/>
    </row>
    <row r="116" spans="3:4" s="56" customFormat="1" ht="15.5" x14ac:dyDescent="0.35">
      <c r="C116" s="80"/>
      <c r="D116" s="80"/>
    </row>
    <row r="117" spans="3:4" s="56" customFormat="1" ht="15.5" x14ac:dyDescent="0.35">
      <c r="C117" s="80"/>
      <c r="D117" s="80"/>
    </row>
    <row r="118" spans="3:4" s="56" customFormat="1" ht="15.5" x14ac:dyDescent="0.35">
      <c r="C118" s="80"/>
      <c r="D118" s="80"/>
    </row>
    <row r="119" spans="3:4" s="56" customFormat="1" ht="15.5" x14ac:dyDescent="0.35">
      <c r="C119" s="80"/>
      <c r="D119" s="80"/>
    </row>
    <row r="120" spans="3:4" s="56" customFormat="1" ht="15.5" x14ac:dyDescent="0.35">
      <c r="C120" s="80"/>
      <c r="D120" s="80"/>
    </row>
    <row r="121" spans="3:4" s="56" customFormat="1" ht="15.5" x14ac:dyDescent="0.35">
      <c r="C121" s="80"/>
      <c r="D121" s="80"/>
    </row>
    <row r="122" spans="3:4" s="56" customFormat="1" ht="15.5" x14ac:dyDescent="0.35">
      <c r="C122" s="80"/>
      <c r="D122" s="80"/>
    </row>
    <row r="123" spans="3:4" s="56" customFormat="1" ht="15.5" x14ac:dyDescent="0.35">
      <c r="C123" s="80"/>
      <c r="D123" s="80"/>
    </row>
    <row r="124" spans="3:4" s="56" customFormat="1" ht="15.5" x14ac:dyDescent="0.35">
      <c r="C124" s="80"/>
      <c r="D124" s="80"/>
    </row>
    <row r="125" spans="3:4" s="56" customFormat="1" ht="15.5" x14ac:dyDescent="0.35">
      <c r="C125" s="80"/>
      <c r="D125" s="80"/>
    </row>
    <row r="126" spans="3:4" s="56" customFormat="1" ht="15.5" x14ac:dyDescent="0.35">
      <c r="C126" s="80"/>
      <c r="D126" s="80"/>
    </row>
    <row r="127" spans="3:4" s="56" customFormat="1" ht="15.5" x14ac:dyDescent="0.35">
      <c r="C127" s="80"/>
      <c r="D127" s="80"/>
    </row>
    <row r="128" spans="3:4" s="56" customFormat="1" ht="15.5" x14ac:dyDescent="0.35">
      <c r="C128" s="80"/>
      <c r="D128" s="80"/>
    </row>
    <row r="129" spans="3:4" s="56" customFormat="1" ht="15.5" x14ac:dyDescent="0.35">
      <c r="C129" s="80"/>
      <c r="D129" s="80"/>
    </row>
    <row r="130" spans="3:4" s="56" customFormat="1" ht="15.5" x14ac:dyDescent="0.35">
      <c r="C130" s="80"/>
      <c r="D130" s="80"/>
    </row>
    <row r="131" spans="3:4" s="56" customFormat="1" ht="15.5" x14ac:dyDescent="0.35">
      <c r="C131" s="80"/>
      <c r="D131" s="80"/>
    </row>
    <row r="132" spans="3:4" s="56" customFormat="1" ht="15.5" x14ac:dyDescent="0.35">
      <c r="C132" s="80"/>
      <c r="D132" s="80"/>
    </row>
    <row r="133" spans="3:4" s="56" customFormat="1" ht="15.5" x14ac:dyDescent="0.35">
      <c r="C133" s="80"/>
      <c r="D133" s="80"/>
    </row>
    <row r="134" spans="3:4" s="56" customFormat="1" ht="15.5" x14ac:dyDescent="0.35">
      <c r="C134" s="80"/>
      <c r="D134" s="80"/>
    </row>
    <row r="135" spans="3:4" s="56" customFormat="1" ht="15.5" x14ac:dyDescent="0.35">
      <c r="C135" s="80"/>
      <c r="D135" s="80"/>
    </row>
    <row r="136" spans="3:4" s="56" customFormat="1" ht="15.5" x14ac:dyDescent="0.35">
      <c r="C136" s="80"/>
      <c r="D136" s="80"/>
    </row>
    <row r="137" spans="3:4" s="56" customFormat="1" ht="15.5" x14ac:dyDescent="0.35">
      <c r="C137" s="80"/>
      <c r="D137" s="80"/>
    </row>
    <row r="138" spans="3:4" s="56" customFormat="1" ht="15.5" x14ac:dyDescent="0.35">
      <c r="C138" s="80"/>
      <c r="D138" s="80"/>
    </row>
    <row r="139" spans="3:4" s="56" customFormat="1" ht="15.5" x14ac:dyDescent="0.35">
      <c r="C139" s="80"/>
      <c r="D139" s="80"/>
    </row>
    <row r="140" spans="3:4" s="56" customFormat="1" ht="15.5" x14ac:dyDescent="0.35">
      <c r="C140" s="80"/>
      <c r="D140" s="80"/>
    </row>
    <row r="141" spans="3:4" s="56" customFormat="1" ht="15.5" x14ac:dyDescent="0.35">
      <c r="C141" s="80"/>
      <c r="D141" s="80"/>
    </row>
    <row r="142" spans="3:4" s="56" customFormat="1" ht="15.5" x14ac:dyDescent="0.35">
      <c r="C142" s="80"/>
      <c r="D142" s="80"/>
    </row>
    <row r="143" spans="3:4" s="56" customFormat="1" ht="15.5" x14ac:dyDescent="0.35">
      <c r="C143" s="80"/>
      <c r="D143" s="80"/>
    </row>
    <row r="144" spans="3:4" s="56" customFormat="1" ht="15.5" x14ac:dyDescent="0.35">
      <c r="C144" s="80"/>
      <c r="D144" s="80"/>
    </row>
    <row r="145" spans="3:4" s="56" customFormat="1" ht="15.5" x14ac:dyDescent="0.35">
      <c r="C145" s="80"/>
      <c r="D145" s="80"/>
    </row>
    <row r="146" spans="3:4" s="56" customFormat="1" ht="15.5" x14ac:dyDescent="0.35">
      <c r="C146" s="80"/>
      <c r="D146" s="80"/>
    </row>
    <row r="147" spans="3:4" s="56" customFormat="1" ht="15.5" x14ac:dyDescent="0.35">
      <c r="C147" s="80"/>
      <c r="D147" s="80"/>
    </row>
    <row r="148" spans="3:4" s="56" customFormat="1" ht="15.5" x14ac:dyDescent="0.35">
      <c r="C148" s="80"/>
      <c r="D148" s="80"/>
    </row>
    <row r="149" spans="3:4" s="56" customFormat="1" ht="15.5" x14ac:dyDescent="0.35">
      <c r="C149" s="80"/>
      <c r="D149" s="80"/>
    </row>
    <row r="150" spans="3:4" s="56" customFormat="1" ht="15.5" x14ac:dyDescent="0.35">
      <c r="C150" s="80"/>
      <c r="D150" s="80"/>
    </row>
    <row r="151" spans="3:4" s="56" customFormat="1" ht="15.5" x14ac:dyDescent="0.35">
      <c r="C151" s="80"/>
      <c r="D151" s="80"/>
    </row>
    <row r="152" spans="3:4" s="56" customFormat="1" ht="15.5" x14ac:dyDescent="0.35">
      <c r="C152" s="80"/>
      <c r="D152" s="80"/>
    </row>
    <row r="153" spans="3:4" s="56" customFormat="1" ht="15.5" x14ac:dyDescent="0.35">
      <c r="C153" s="80"/>
      <c r="D153" s="80"/>
    </row>
    <row r="154" spans="3:4" s="56" customFormat="1" ht="15.5" x14ac:dyDescent="0.35">
      <c r="C154" s="80"/>
      <c r="D154" s="80"/>
    </row>
    <row r="155" spans="3:4" s="56" customFormat="1" ht="15.5" x14ac:dyDescent="0.35">
      <c r="C155" s="80"/>
      <c r="D155" s="80"/>
    </row>
    <row r="156" spans="3:4" s="56" customFormat="1" ht="15.5" x14ac:dyDescent="0.35">
      <c r="C156" s="80"/>
      <c r="D156" s="80"/>
    </row>
    <row r="157" spans="3:4" s="56" customFormat="1" ht="15.5" x14ac:dyDescent="0.35">
      <c r="C157" s="80"/>
      <c r="D157" s="80"/>
    </row>
    <row r="158" spans="3:4" s="56" customFormat="1" ht="15.5" x14ac:dyDescent="0.35">
      <c r="C158" s="80"/>
      <c r="D158" s="80"/>
    </row>
    <row r="159" spans="3:4" s="56" customFormat="1" ht="15.5" x14ac:dyDescent="0.35">
      <c r="C159" s="80"/>
      <c r="D159" s="80"/>
    </row>
    <row r="160" spans="3:4" s="56" customFormat="1" ht="15.5" x14ac:dyDescent="0.35">
      <c r="C160" s="80"/>
      <c r="D160" s="80"/>
    </row>
    <row r="161" spans="3:4" s="56" customFormat="1" ht="15.5" x14ac:dyDescent="0.35">
      <c r="C161" s="80"/>
      <c r="D161" s="80"/>
    </row>
    <row r="162" spans="3:4" s="56" customFormat="1" ht="15.5" x14ac:dyDescent="0.35">
      <c r="C162" s="80"/>
      <c r="D162" s="80"/>
    </row>
    <row r="163" spans="3:4" s="56" customFormat="1" ht="15.5" x14ac:dyDescent="0.35">
      <c r="C163" s="80"/>
      <c r="D163" s="80"/>
    </row>
    <row r="164" spans="3:4" s="56" customFormat="1" ht="15.5" x14ac:dyDescent="0.35">
      <c r="C164" s="80"/>
      <c r="D164" s="80"/>
    </row>
    <row r="165" spans="3:4" s="56" customFormat="1" ht="15.5" x14ac:dyDescent="0.35">
      <c r="C165" s="80"/>
      <c r="D165" s="80"/>
    </row>
    <row r="166" spans="3:4" s="56" customFormat="1" ht="15.5" x14ac:dyDescent="0.35">
      <c r="C166" s="80"/>
      <c r="D166" s="80"/>
    </row>
    <row r="167" spans="3:4" s="56" customFormat="1" ht="15.5" x14ac:dyDescent="0.35">
      <c r="C167" s="80"/>
      <c r="D167" s="80"/>
    </row>
    <row r="168" spans="3:4" s="56" customFormat="1" ht="15.5" x14ac:dyDescent="0.35">
      <c r="C168" s="80"/>
      <c r="D168" s="80"/>
    </row>
    <row r="169" spans="3:4" s="56" customFormat="1" ht="15.5" x14ac:dyDescent="0.35">
      <c r="C169" s="80"/>
      <c r="D169" s="80"/>
    </row>
    <row r="170" spans="3:4" x14ac:dyDescent="0.3">
      <c r="C170" s="6"/>
      <c r="D170" s="6"/>
    </row>
    <row r="171" spans="3:4" x14ac:dyDescent="0.3">
      <c r="C171" s="6"/>
      <c r="D171" s="6"/>
    </row>
    <row r="172" spans="3:4" x14ac:dyDescent="0.3">
      <c r="C172" s="6"/>
      <c r="D172" s="6"/>
    </row>
    <row r="173" spans="3:4" x14ac:dyDescent="0.3">
      <c r="C173" s="6"/>
      <c r="D173"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EEB84-8AEA-40F9-8404-00B024F1F3BA}">
  <sheetPr>
    <tabColor theme="0"/>
  </sheetPr>
  <dimension ref="B1:S102"/>
  <sheetViews>
    <sheetView showGridLines="0" topLeftCell="A71" zoomScale="85" zoomScaleNormal="85" workbookViewId="0">
      <selection activeCell="S135" sqref="S135"/>
    </sheetView>
  </sheetViews>
  <sheetFormatPr defaultRowHeight="14" x14ac:dyDescent="0.3"/>
  <cols>
    <col min="1" max="1" width="1.90625" style="3" customWidth="1"/>
    <col min="2" max="2" width="48" style="3" bestFit="1" customWidth="1"/>
    <col min="3" max="3" width="10.7265625" style="3" bestFit="1" customWidth="1"/>
    <col min="4" max="4" width="9" style="3" bestFit="1" customWidth="1"/>
    <col min="5" max="5" width="14" style="3" bestFit="1" customWidth="1"/>
    <col min="6" max="6" width="16.7265625" style="226" bestFit="1" customWidth="1"/>
    <col min="7" max="7" width="1.81640625" style="3" customWidth="1"/>
    <col min="8" max="8" width="27.36328125" style="3" bestFit="1" customWidth="1"/>
    <col min="9" max="11" width="14.26953125" style="3" bestFit="1" customWidth="1"/>
    <col min="12" max="12" width="15" style="3" bestFit="1" customWidth="1"/>
    <col min="13" max="18" width="15.90625" style="3" bestFit="1" customWidth="1"/>
    <col min="19" max="19" width="12.08984375" style="3" bestFit="1" customWidth="1"/>
    <col min="20" max="16384" width="8.7265625" style="3"/>
  </cols>
  <sheetData>
    <row r="1" spans="2:18" ht="42.5" x14ac:dyDescent="1.1000000000000001">
      <c r="B1" s="31" t="s">
        <v>203</v>
      </c>
    </row>
    <row r="2" spans="2:18" s="56" customFormat="1" ht="15.5" x14ac:dyDescent="0.35">
      <c r="B2" s="55" t="str">
        <f>Summary!B3</f>
        <v>XpertHotel 113  Park Lane London, W1K 7AJ</v>
      </c>
      <c r="F2" s="227"/>
    </row>
    <row r="3" spans="2:18" s="56" customFormat="1" ht="15.5" x14ac:dyDescent="0.35">
      <c r="F3" s="227"/>
    </row>
    <row r="4" spans="2:18" s="56" customFormat="1" ht="16" thickBot="1" x14ac:dyDescent="0.4">
      <c r="B4" s="100" t="s">
        <v>84</v>
      </c>
      <c r="F4" s="227"/>
      <c r="H4" s="101" t="str">
        <f>C6&amp;" P&amp;L"</f>
        <v>Restaurant P&amp;L</v>
      </c>
    </row>
    <row r="5" spans="2:18" s="56" customFormat="1" ht="16" thickBot="1" x14ac:dyDescent="0.4">
      <c r="F5" s="227"/>
      <c r="H5" s="102"/>
      <c r="I5" s="103">
        <v>1</v>
      </c>
      <c r="J5" s="103">
        <v>2</v>
      </c>
      <c r="K5" s="103">
        <v>3</v>
      </c>
      <c r="L5" s="103">
        <v>4</v>
      </c>
      <c r="M5" s="103">
        <v>5</v>
      </c>
      <c r="N5" s="103">
        <v>6</v>
      </c>
      <c r="O5" s="103">
        <v>7</v>
      </c>
      <c r="P5" s="103">
        <v>8</v>
      </c>
      <c r="Q5" s="103">
        <v>9</v>
      </c>
      <c r="R5" s="104">
        <v>10</v>
      </c>
    </row>
    <row r="6" spans="2:18" s="56" customFormat="1" ht="16" thickBot="1" x14ac:dyDescent="0.4">
      <c r="B6" s="105" t="s">
        <v>85</v>
      </c>
      <c r="C6" s="156" t="s">
        <v>74</v>
      </c>
      <c r="D6" s="156" t="s">
        <v>75</v>
      </c>
      <c r="E6" s="156" t="s">
        <v>76</v>
      </c>
      <c r="F6" s="228" t="s">
        <v>77</v>
      </c>
      <c r="H6" s="106"/>
      <c r="I6" s="107">
        <f>'Operating Cash Flow'!C6</f>
        <v>46234</v>
      </c>
      <c r="J6" s="107">
        <f>'Operating Cash Flow'!D6</f>
        <v>46599</v>
      </c>
      <c r="K6" s="107">
        <f>'Operating Cash Flow'!E6</f>
        <v>46965</v>
      </c>
      <c r="L6" s="107">
        <f>'Operating Cash Flow'!F6</f>
        <v>47330</v>
      </c>
      <c r="M6" s="107">
        <f>'Operating Cash Flow'!G6</f>
        <v>47695</v>
      </c>
      <c r="N6" s="107">
        <f>'Operating Cash Flow'!H6</f>
        <v>48060</v>
      </c>
      <c r="O6" s="107">
        <f>'Operating Cash Flow'!I6</f>
        <v>48426</v>
      </c>
      <c r="P6" s="107">
        <f>'Operating Cash Flow'!J6</f>
        <v>48791</v>
      </c>
      <c r="Q6" s="107">
        <f>'Operating Cash Flow'!K6</f>
        <v>49156</v>
      </c>
      <c r="R6" s="108">
        <f>'Operating Cash Flow'!L6</f>
        <v>49521</v>
      </c>
    </row>
    <row r="7" spans="2:18" s="56" customFormat="1" ht="15.5" x14ac:dyDescent="0.35">
      <c r="B7" s="55"/>
      <c r="F7" s="227"/>
      <c r="H7" s="109" t="s">
        <v>66</v>
      </c>
      <c r="I7" s="307">
        <f>INDEX('Operating Cash Flow'!$C$11:$L$11,MATCH('F&amp;B'!I6,'Operating Cash Flow'!$C$6:$L$6,0))</f>
        <v>27375</v>
      </c>
      <c r="J7" s="307">
        <f>INDEX('Operating Cash Flow'!$C$11:$L$11,MATCH('F&amp;B'!J6,'Operating Cash Flow'!$C$6:$L$6,0))</f>
        <v>41063</v>
      </c>
      <c r="K7" s="307">
        <f>INDEX('Operating Cash Flow'!$C$11:$L$11,MATCH('F&amp;B'!K6,'Operating Cash Flow'!$C$6:$L$6,0))</f>
        <v>43920</v>
      </c>
      <c r="L7" s="307">
        <f>INDEX('Operating Cash Flow'!$C$11:$L$11,MATCH('F&amp;B'!L6,'Operating Cash Flow'!$C$6:$L$6,0))</f>
        <v>46538</v>
      </c>
      <c r="M7" s="307">
        <f>INDEX('Operating Cash Flow'!$C$11:$L$11,MATCH('F&amp;B'!M6,'Operating Cash Flow'!$C$6:$L$6,0))</f>
        <v>49275</v>
      </c>
      <c r="N7" s="307">
        <f>INDEX('Operating Cash Flow'!$C$11:$L$11,MATCH('F&amp;B'!N6,'Operating Cash Flow'!$C$6:$L$6,0))</f>
        <v>49275</v>
      </c>
      <c r="O7" s="307">
        <f>INDEX('Operating Cash Flow'!$C$11:$L$11,MATCH('F&amp;B'!O6,'Operating Cash Flow'!$C$6:$L$6,0))</f>
        <v>49410</v>
      </c>
      <c r="P7" s="307">
        <f>INDEX('Operating Cash Flow'!$C$11:$L$11,MATCH('F&amp;B'!P6,'Operating Cash Flow'!$C$6:$L$6,0))</f>
        <v>49275</v>
      </c>
      <c r="Q7" s="307">
        <f>INDEX('Operating Cash Flow'!$C$11:$L$11,MATCH('F&amp;B'!Q6,'Operating Cash Flow'!$C$6:$L$6,0))</f>
        <v>49275</v>
      </c>
      <c r="R7" s="308">
        <f>INDEX('Operating Cash Flow'!$C$11:$L$11,MATCH('F&amp;B'!R6,'Operating Cash Flow'!$C$6:$L$6,0))</f>
        <v>49275</v>
      </c>
    </row>
    <row r="8" spans="2:18" s="56" customFormat="1" ht="15.5" x14ac:dyDescent="0.35">
      <c r="B8" s="111" t="s">
        <v>86</v>
      </c>
      <c r="C8" s="155">
        <v>1.5</v>
      </c>
      <c r="F8" s="227"/>
      <c r="H8" s="109" t="s">
        <v>104</v>
      </c>
      <c r="I8" s="309">
        <f>I7*$C$8</f>
        <v>41062.5</v>
      </c>
      <c r="J8" s="309">
        <f t="shared" ref="J8:R8" si="0">J7*$C$8</f>
        <v>61594.5</v>
      </c>
      <c r="K8" s="309">
        <f t="shared" si="0"/>
        <v>65880</v>
      </c>
      <c r="L8" s="309">
        <f t="shared" si="0"/>
        <v>69807</v>
      </c>
      <c r="M8" s="309">
        <f t="shared" si="0"/>
        <v>73912.5</v>
      </c>
      <c r="N8" s="309">
        <f t="shared" si="0"/>
        <v>73912.5</v>
      </c>
      <c r="O8" s="309">
        <f t="shared" si="0"/>
        <v>74115</v>
      </c>
      <c r="P8" s="309">
        <f t="shared" si="0"/>
        <v>73912.5</v>
      </c>
      <c r="Q8" s="309">
        <f t="shared" si="0"/>
        <v>73912.5</v>
      </c>
      <c r="R8" s="310">
        <f t="shared" si="0"/>
        <v>73912.5</v>
      </c>
    </row>
    <row r="9" spans="2:18" s="56" customFormat="1" ht="15.5" x14ac:dyDescent="0.35">
      <c r="B9" s="101"/>
      <c r="C9" s="112"/>
      <c r="F9" s="227"/>
      <c r="H9" s="109" t="s">
        <v>105</v>
      </c>
      <c r="I9" s="307">
        <f>C21</f>
        <v>540</v>
      </c>
      <c r="J9" s="307">
        <f>I9</f>
        <v>540</v>
      </c>
      <c r="K9" s="307">
        <f t="shared" ref="K9:R9" si="1">J9</f>
        <v>540</v>
      </c>
      <c r="L9" s="307">
        <f t="shared" si="1"/>
        <v>540</v>
      </c>
      <c r="M9" s="307">
        <f t="shared" si="1"/>
        <v>540</v>
      </c>
      <c r="N9" s="307">
        <f t="shared" si="1"/>
        <v>540</v>
      </c>
      <c r="O9" s="307">
        <f t="shared" si="1"/>
        <v>540</v>
      </c>
      <c r="P9" s="307">
        <f t="shared" si="1"/>
        <v>540</v>
      </c>
      <c r="Q9" s="307">
        <f t="shared" si="1"/>
        <v>540</v>
      </c>
      <c r="R9" s="308">
        <f t="shared" si="1"/>
        <v>540</v>
      </c>
    </row>
    <row r="10" spans="2:18" s="56" customFormat="1" ht="15.5" x14ac:dyDescent="0.35">
      <c r="B10" s="113" t="s">
        <v>94</v>
      </c>
      <c r="C10" s="114" t="str">
        <f>C6</f>
        <v>Restaurant</v>
      </c>
      <c r="D10" s="114" t="str">
        <f t="shared" ref="D10:F10" si="2">D6</f>
        <v>Bar</v>
      </c>
      <c r="E10" s="114" t="str">
        <f t="shared" si="2"/>
        <v>Room Service</v>
      </c>
      <c r="F10" s="229" t="str">
        <f t="shared" si="2"/>
        <v>Banquet Catering</v>
      </c>
      <c r="H10" s="109" t="s">
        <v>106</v>
      </c>
      <c r="I10" s="287"/>
      <c r="J10" s="287"/>
      <c r="K10" s="287"/>
      <c r="L10" s="287"/>
      <c r="M10" s="287"/>
      <c r="N10" s="287"/>
      <c r="O10" s="287"/>
      <c r="P10" s="287"/>
      <c r="Q10" s="287"/>
      <c r="R10" s="311"/>
    </row>
    <row r="11" spans="2:18" s="56" customFormat="1" ht="15.5" x14ac:dyDescent="0.35">
      <c r="B11" s="115" t="s">
        <v>87</v>
      </c>
      <c r="C11" s="135">
        <v>0.2</v>
      </c>
      <c r="D11" s="135">
        <v>0</v>
      </c>
      <c r="E11" s="135">
        <v>0.1</v>
      </c>
      <c r="F11" s="230">
        <v>0</v>
      </c>
      <c r="H11" s="115" t="s">
        <v>87</v>
      </c>
      <c r="I11" s="309">
        <f t="shared" ref="I11:R11" si="3">$C17+(I$8*$C11)</f>
        <v>8412.5</v>
      </c>
      <c r="J11" s="309">
        <f t="shared" si="3"/>
        <v>12518.900000000001</v>
      </c>
      <c r="K11" s="309">
        <f t="shared" si="3"/>
        <v>13376</v>
      </c>
      <c r="L11" s="309">
        <f t="shared" si="3"/>
        <v>14161.400000000001</v>
      </c>
      <c r="M11" s="309">
        <f t="shared" si="3"/>
        <v>14982.5</v>
      </c>
      <c r="N11" s="309">
        <f t="shared" si="3"/>
        <v>14982.5</v>
      </c>
      <c r="O11" s="309">
        <f t="shared" si="3"/>
        <v>15023</v>
      </c>
      <c r="P11" s="309">
        <f t="shared" si="3"/>
        <v>14982.5</v>
      </c>
      <c r="Q11" s="309">
        <f t="shared" si="3"/>
        <v>14982.5</v>
      </c>
      <c r="R11" s="310">
        <f t="shared" si="3"/>
        <v>14982.5</v>
      </c>
    </row>
    <row r="12" spans="2:18" s="56" customFormat="1" ht="15.5" x14ac:dyDescent="0.35">
      <c r="B12" s="115" t="s">
        <v>88</v>
      </c>
      <c r="C12" s="135">
        <v>0.01</v>
      </c>
      <c r="D12" s="135">
        <v>0.02</v>
      </c>
      <c r="E12" s="135">
        <v>0.05</v>
      </c>
      <c r="F12" s="230">
        <v>0</v>
      </c>
      <c r="H12" s="115" t="s">
        <v>88</v>
      </c>
      <c r="I12" s="309">
        <f t="shared" ref="I12:R12" si="4">$C18+(I$8*$C12)</f>
        <v>450.625</v>
      </c>
      <c r="J12" s="309">
        <f t="shared" si="4"/>
        <v>655.94500000000005</v>
      </c>
      <c r="K12" s="309">
        <f t="shared" si="4"/>
        <v>698.80000000000007</v>
      </c>
      <c r="L12" s="309">
        <f t="shared" si="4"/>
        <v>738.07</v>
      </c>
      <c r="M12" s="309">
        <f t="shared" si="4"/>
        <v>779.125</v>
      </c>
      <c r="N12" s="309">
        <f t="shared" si="4"/>
        <v>779.125</v>
      </c>
      <c r="O12" s="309">
        <f t="shared" si="4"/>
        <v>781.15</v>
      </c>
      <c r="P12" s="309">
        <f t="shared" si="4"/>
        <v>779.125</v>
      </c>
      <c r="Q12" s="309">
        <f t="shared" si="4"/>
        <v>779.125</v>
      </c>
      <c r="R12" s="310">
        <f t="shared" si="4"/>
        <v>779.125</v>
      </c>
    </row>
    <row r="13" spans="2:18" s="56" customFormat="1" ht="15.5" x14ac:dyDescent="0.35">
      <c r="B13" s="115" t="s">
        <v>89</v>
      </c>
      <c r="C13" s="135">
        <v>0.3</v>
      </c>
      <c r="D13" s="135">
        <v>0.4</v>
      </c>
      <c r="E13" s="135">
        <v>0.1</v>
      </c>
      <c r="F13" s="230">
        <v>0</v>
      </c>
      <c r="H13" s="115" t="s">
        <v>89</v>
      </c>
      <c r="I13" s="309">
        <f t="shared" ref="I13:R13" si="5">$C19+(I$8*$C13)</f>
        <v>12618.75</v>
      </c>
      <c r="J13" s="309">
        <f t="shared" si="5"/>
        <v>18778.349999999999</v>
      </c>
      <c r="K13" s="309">
        <f t="shared" si="5"/>
        <v>20064</v>
      </c>
      <c r="L13" s="309">
        <f t="shared" si="5"/>
        <v>21242.1</v>
      </c>
      <c r="M13" s="309">
        <f t="shared" si="5"/>
        <v>22473.75</v>
      </c>
      <c r="N13" s="309">
        <f t="shared" si="5"/>
        <v>22473.75</v>
      </c>
      <c r="O13" s="309">
        <f t="shared" si="5"/>
        <v>22534.5</v>
      </c>
      <c r="P13" s="309">
        <f t="shared" si="5"/>
        <v>22473.75</v>
      </c>
      <c r="Q13" s="309">
        <f t="shared" si="5"/>
        <v>22473.75</v>
      </c>
      <c r="R13" s="310">
        <f t="shared" si="5"/>
        <v>22473.75</v>
      </c>
    </row>
    <row r="14" spans="2:18" s="56" customFormat="1" ht="15.5" x14ac:dyDescent="0.35">
      <c r="B14" s="116" t="s">
        <v>90</v>
      </c>
      <c r="C14" s="154">
        <v>0</v>
      </c>
      <c r="D14" s="154">
        <v>0.1</v>
      </c>
      <c r="E14" s="154">
        <v>0.1</v>
      </c>
      <c r="F14" s="231">
        <v>0</v>
      </c>
      <c r="H14" s="115" t="s">
        <v>90</v>
      </c>
      <c r="I14" s="309">
        <f t="shared" ref="I14:R14" si="6">$C20+(I$8*$C14)</f>
        <v>0</v>
      </c>
      <c r="J14" s="309">
        <f t="shared" si="6"/>
        <v>0</v>
      </c>
      <c r="K14" s="309">
        <f t="shared" si="6"/>
        <v>0</v>
      </c>
      <c r="L14" s="309">
        <f t="shared" si="6"/>
        <v>0</v>
      </c>
      <c r="M14" s="309">
        <f t="shared" si="6"/>
        <v>0</v>
      </c>
      <c r="N14" s="309">
        <f t="shared" si="6"/>
        <v>0</v>
      </c>
      <c r="O14" s="309">
        <f t="shared" si="6"/>
        <v>0</v>
      </c>
      <c r="P14" s="309">
        <f t="shared" si="6"/>
        <v>0</v>
      </c>
      <c r="Q14" s="309">
        <f t="shared" si="6"/>
        <v>0</v>
      </c>
      <c r="R14" s="310">
        <f t="shared" si="6"/>
        <v>0</v>
      </c>
    </row>
    <row r="15" spans="2:18" s="56" customFormat="1" ht="15.5" x14ac:dyDescent="0.35">
      <c r="F15" s="227"/>
      <c r="H15" s="109" t="s">
        <v>83</v>
      </c>
      <c r="I15" s="287"/>
      <c r="J15" s="287"/>
      <c r="K15" s="287"/>
      <c r="L15" s="287"/>
      <c r="M15" s="287"/>
      <c r="N15" s="287"/>
      <c r="O15" s="287"/>
      <c r="P15" s="287"/>
      <c r="Q15" s="287"/>
      <c r="R15" s="224"/>
    </row>
    <row r="16" spans="2:18" s="56" customFormat="1" ht="15.5" x14ac:dyDescent="0.35">
      <c r="B16" s="113" t="s">
        <v>91</v>
      </c>
      <c r="C16" s="114" t="str">
        <f>C6</f>
        <v>Restaurant</v>
      </c>
      <c r="D16" s="114" t="str">
        <f t="shared" ref="D16:E16" si="7">D6</f>
        <v>Bar</v>
      </c>
      <c r="E16" s="114" t="str">
        <f t="shared" si="7"/>
        <v>Room Service</v>
      </c>
      <c r="F16" s="229" t="str">
        <f>F6</f>
        <v>Banquet Catering</v>
      </c>
      <c r="H16" s="115" t="str">
        <f>H11</f>
        <v>Breakfast</v>
      </c>
      <c r="I16" s="293">
        <f t="shared" ref="I16:R16" si="8">I11*$C$24*(1+$C$29)^H$5</f>
        <v>126187.5</v>
      </c>
      <c r="J16" s="293">
        <f t="shared" si="8"/>
        <v>193417.00500000003</v>
      </c>
      <c r="K16" s="293">
        <f t="shared" si="8"/>
        <v>212858.976</v>
      </c>
      <c r="L16" s="293">
        <f t="shared" si="8"/>
        <v>232118.16206700003</v>
      </c>
      <c r="M16" s="293">
        <f t="shared" si="8"/>
        <v>252944.03618737499</v>
      </c>
      <c r="N16" s="293">
        <f t="shared" si="8"/>
        <v>260532.35727299622</v>
      </c>
      <c r="O16" s="293">
        <f t="shared" si="8"/>
        <v>269073.71476132749</v>
      </c>
      <c r="P16" s="293">
        <f t="shared" si="8"/>
        <v>276398.7778309217</v>
      </c>
      <c r="Q16" s="293">
        <f t="shared" si="8"/>
        <v>284690.74116584932</v>
      </c>
      <c r="R16" s="224">
        <f t="shared" si="8"/>
        <v>293231.46340082481</v>
      </c>
    </row>
    <row r="17" spans="2:18" s="56" customFormat="1" ht="15.5" x14ac:dyDescent="0.35">
      <c r="B17" s="115" t="s">
        <v>87</v>
      </c>
      <c r="C17" s="50">
        <v>200</v>
      </c>
      <c r="D17" s="50">
        <v>0</v>
      </c>
      <c r="E17" s="50">
        <v>0</v>
      </c>
      <c r="F17" s="232">
        <v>160</v>
      </c>
      <c r="H17" s="115" t="str">
        <f t="shared" ref="H17:H19" si="9">H12</f>
        <v>Lunch</v>
      </c>
      <c r="I17" s="293">
        <f t="shared" ref="I17:R17" si="10">I12*$C$25*(1+$C$29)^H$5</f>
        <v>11265.625</v>
      </c>
      <c r="J17" s="293">
        <f t="shared" si="10"/>
        <v>16890.583750000002</v>
      </c>
      <c r="K17" s="293">
        <f t="shared" si="10"/>
        <v>18533.922999999999</v>
      </c>
      <c r="L17" s="293">
        <f t="shared" si="10"/>
        <v>20162.725422250001</v>
      </c>
      <c r="M17" s="293">
        <f t="shared" si="10"/>
        <v>21922.801289781248</v>
      </c>
      <c r="N17" s="293">
        <f t="shared" si="10"/>
        <v>22580.485328474686</v>
      </c>
      <c r="O17" s="293">
        <f t="shared" si="10"/>
        <v>23318.348785840706</v>
      </c>
      <c r="P17" s="293">
        <f t="shared" si="10"/>
        <v>23955.636884978794</v>
      </c>
      <c r="Q17" s="293">
        <f t="shared" si="10"/>
        <v>24674.305991528156</v>
      </c>
      <c r="R17" s="224">
        <f t="shared" si="10"/>
        <v>25414.535171274001</v>
      </c>
    </row>
    <row r="18" spans="2:18" s="56" customFormat="1" ht="15.5" x14ac:dyDescent="0.35">
      <c r="B18" s="115" t="s">
        <v>88</v>
      </c>
      <c r="C18" s="50">
        <v>40</v>
      </c>
      <c r="D18" s="50">
        <v>100</v>
      </c>
      <c r="E18" s="50">
        <v>0</v>
      </c>
      <c r="F18" s="232">
        <v>160</v>
      </c>
      <c r="H18" s="115" t="str">
        <f t="shared" si="9"/>
        <v>Dinner</v>
      </c>
      <c r="I18" s="293">
        <f t="shared" ref="I18:R18" si="11">I13*$C$26*(1+$C$29)^H$5</f>
        <v>378562.5</v>
      </c>
      <c r="J18" s="293">
        <f t="shared" si="11"/>
        <v>580251.01500000001</v>
      </c>
      <c r="K18" s="293">
        <f t="shared" si="11"/>
        <v>638576.92799999996</v>
      </c>
      <c r="L18" s="293">
        <f t="shared" si="11"/>
        <v>696354.48620100005</v>
      </c>
      <c r="M18" s="293">
        <f t="shared" si="11"/>
        <v>758832.10856212489</v>
      </c>
      <c r="N18" s="293">
        <f t="shared" si="11"/>
        <v>781597.07181898865</v>
      </c>
      <c r="O18" s="293">
        <f t="shared" si="11"/>
        <v>807221.14428398246</v>
      </c>
      <c r="P18" s="293">
        <f t="shared" si="11"/>
        <v>829196.3334927652</v>
      </c>
      <c r="Q18" s="293">
        <f t="shared" si="11"/>
        <v>854072.22349754802</v>
      </c>
      <c r="R18" s="224">
        <f t="shared" si="11"/>
        <v>879694.39020247443</v>
      </c>
    </row>
    <row r="19" spans="2:18" s="56" customFormat="1" ht="15.5" x14ac:dyDescent="0.35">
      <c r="B19" s="115" t="s">
        <v>89</v>
      </c>
      <c r="C19" s="50">
        <v>300</v>
      </c>
      <c r="D19" s="50">
        <v>200</v>
      </c>
      <c r="E19" s="50">
        <v>0</v>
      </c>
      <c r="F19" s="232">
        <v>160</v>
      </c>
      <c r="H19" s="115" t="str">
        <f t="shared" si="9"/>
        <v>Overnight</v>
      </c>
      <c r="I19" s="293">
        <f t="shared" ref="I19:R19" si="12">I14*$C$27*(1+$C$29)^H$5</f>
        <v>0</v>
      </c>
      <c r="J19" s="293">
        <f t="shared" si="12"/>
        <v>0</v>
      </c>
      <c r="K19" s="293">
        <f t="shared" si="12"/>
        <v>0</v>
      </c>
      <c r="L19" s="293">
        <f t="shared" si="12"/>
        <v>0</v>
      </c>
      <c r="M19" s="293">
        <f t="shared" si="12"/>
        <v>0</v>
      </c>
      <c r="N19" s="293">
        <f t="shared" si="12"/>
        <v>0</v>
      </c>
      <c r="O19" s="293">
        <f t="shared" si="12"/>
        <v>0</v>
      </c>
      <c r="P19" s="293">
        <f t="shared" si="12"/>
        <v>0</v>
      </c>
      <c r="Q19" s="293">
        <f t="shared" si="12"/>
        <v>0</v>
      </c>
      <c r="R19" s="224">
        <f t="shared" si="12"/>
        <v>0</v>
      </c>
    </row>
    <row r="20" spans="2:18" s="56" customFormat="1" ht="15.5" x14ac:dyDescent="0.35">
      <c r="B20" s="116" t="s">
        <v>90</v>
      </c>
      <c r="C20" s="153">
        <v>0</v>
      </c>
      <c r="D20" s="153">
        <v>650</v>
      </c>
      <c r="E20" s="153">
        <v>0</v>
      </c>
      <c r="F20" s="233">
        <v>0</v>
      </c>
      <c r="H20" s="111" t="s">
        <v>83</v>
      </c>
      <c r="I20" s="312">
        <f>SUM(I16:I19)</f>
        <v>516015.625</v>
      </c>
      <c r="J20" s="312">
        <f t="shared" ref="J20:R20" si="13">SUM(J16:J19)</f>
        <v>790558.60375000001</v>
      </c>
      <c r="K20" s="312">
        <f t="shared" si="13"/>
        <v>869969.82699999993</v>
      </c>
      <c r="L20" s="312">
        <f t="shared" si="13"/>
        <v>948635.3736902501</v>
      </c>
      <c r="M20" s="312">
        <f t="shared" si="13"/>
        <v>1033698.9460392811</v>
      </c>
      <c r="N20" s="312">
        <f t="shared" si="13"/>
        <v>1064709.9144204594</v>
      </c>
      <c r="O20" s="312">
        <f t="shared" si="13"/>
        <v>1099613.2078311506</v>
      </c>
      <c r="P20" s="312">
        <f t="shared" si="13"/>
        <v>1129550.7482086658</v>
      </c>
      <c r="Q20" s="312">
        <f t="shared" si="13"/>
        <v>1163437.2706549256</v>
      </c>
      <c r="R20" s="313">
        <f t="shared" si="13"/>
        <v>1198340.3887745733</v>
      </c>
    </row>
    <row r="21" spans="2:18" s="56" customFormat="1" ht="15.5" x14ac:dyDescent="0.35">
      <c r="B21" s="120" t="s">
        <v>48</v>
      </c>
      <c r="C21" s="225">
        <f>SUM(C17:C20)</f>
        <v>540</v>
      </c>
      <c r="D21" s="225">
        <f t="shared" ref="D21:F21" si="14">SUM(D17:D20)</f>
        <v>950</v>
      </c>
      <c r="E21" s="225">
        <f t="shared" si="14"/>
        <v>0</v>
      </c>
      <c r="F21" s="234">
        <f t="shared" si="14"/>
        <v>480</v>
      </c>
      <c r="H21" s="117" t="s">
        <v>107</v>
      </c>
      <c r="I21" s="314"/>
      <c r="J21" s="314"/>
      <c r="K21" s="314"/>
      <c r="L21" s="315"/>
      <c r="M21" s="315"/>
      <c r="N21" s="315"/>
      <c r="O21" s="315"/>
      <c r="P21" s="315"/>
      <c r="Q21" s="315"/>
      <c r="R21" s="316"/>
    </row>
    <row r="22" spans="2:18" s="56" customFormat="1" ht="15.5" x14ac:dyDescent="0.35">
      <c r="F22" s="227"/>
      <c r="H22" s="115" t="s">
        <v>101</v>
      </c>
      <c r="I22" s="293">
        <f t="shared" ref="I22:R22" si="15">I$20*$C40</f>
        <v>206406.25</v>
      </c>
      <c r="J22" s="293">
        <f t="shared" si="15"/>
        <v>316223.44150000002</v>
      </c>
      <c r="K22" s="293">
        <f t="shared" si="15"/>
        <v>347987.93079999997</v>
      </c>
      <c r="L22" s="293">
        <f t="shared" si="15"/>
        <v>379454.14947610005</v>
      </c>
      <c r="M22" s="293">
        <f t="shared" si="15"/>
        <v>413479.57841571246</v>
      </c>
      <c r="N22" s="293">
        <f t="shared" si="15"/>
        <v>425883.96576818381</v>
      </c>
      <c r="O22" s="293">
        <f t="shared" si="15"/>
        <v>439845.28313246026</v>
      </c>
      <c r="P22" s="293">
        <f t="shared" si="15"/>
        <v>451820.2992834663</v>
      </c>
      <c r="Q22" s="293">
        <f t="shared" si="15"/>
        <v>465374.90826197027</v>
      </c>
      <c r="R22" s="224">
        <f t="shared" si="15"/>
        <v>479336.15550982935</v>
      </c>
    </row>
    <row r="23" spans="2:18" s="56" customFormat="1" ht="15.5" x14ac:dyDescent="0.35">
      <c r="B23" s="113" t="s">
        <v>92</v>
      </c>
      <c r="C23" s="118" t="str">
        <f>C6</f>
        <v>Restaurant</v>
      </c>
      <c r="D23" s="118" t="str">
        <f>D6</f>
        <v>Bar</v>
      </c>
      <c r="E23" s="118" t="str">
        <f>E6</f>
        <v>Room Service</v>
      </c>
      <c r="F23" s="235" t="str">
        <f>F6</f>
        <v>Banquet Catering</v>
      </c>
      <c r="H23" s="36" t="s">
        <v>99</v>
      </c>
      <c r="I23" s="293">
        <f t="shared" ref="I23:R23" si="16">I$20*$C41</f>
        <v>0</v>
      </c>
      <c r="J23" s="293">
        <f t="shared" si="16"/>
        <v>0</v>
      </c>
      <c r="K23" s="293">
        <f t="shared" si="16"/>
        <v>0</v>
      </c>
      <c r="L23" s="293">
        <f t="shared" si="16"/>
        <v>0</v>
      </c>
      <c r="M23" s="293">
        <f t="shared" si="16"/>
        <v>0</v>
      </c>
      <c r="N23" s="293">
        <f t="shared" si="16"/>
        <v>0</v>
      </c>
      <c r="O23" s="293">
        <f t="shared" si="16"/>
        <v>0</v>
      </c>
      <c r="P23" s="293">
        <f t="shared" si="16"/>
        <v>0</v>
      </c>
      <c r="Q23" s="293">
        <f t="shared" si="16"/>
        <v>0</v>
      </c>
      <c r="R23" s="224">
        <f t="shared" si="16"/>
        <v>0</v>
      </c>
    </row>
    <row r="24" spans="2:18" s="56" customFormat="1" ht="15.5" x14ac:dyDescent="0.35">
      <c r="B24" s="115" t="s">
        <v>87</v>
      </c>
      <c r="C24" s="151">
        <v>15</v>
      </c>
      <c r="D24" s="151">
        <v>0</v>
      </c>
      <c r="E24" s="151">
        <v>25</v>
      </c>
      <c r="F24" s="236">
        <v>50</v>
      </c>
      <c r="H24" s="119" t="s">
        <v>100</v>
      </c>
      <c r="I24" s="293">
        <f t="shared" ref="I24:R24" si="17">I$20*$C42</f>
        <v>154804.6875</v>
      </c>
      <c r="J24" s="293">
        <f t="shared" si="17"/>
        <v>237167.581125</v>
      </c>
      <c r="K24" s="293">
        <f t="shared" si="17"/>
        <v>260990.94809999998</v>
      </c>
      <c r="L24" s="293">
        <f t="shared" si="17"/>
        <v>284590.61210707499</v>
      </c>
      <c r="M24" s="293">
        <f t="shared" si="17"/>
        <v>310109.68381178431</v>
      </c>
      <c r="N24" s="293">
        <f t="shared" si="17"/>
        <v>319412.9743261378</v>
      </c>
      <c r="O24" s="293">
        <f t="shared" si="17"/>
        <v>329883.96234934515</v>
      </c>
      <c r="P24" s="293">
        <f t="shared" si="17"/>
        <v>338865.22446259973</v>
      </c>
      <c r="Q24" s="293">
        <f t="shared" si="17"/>
        <v>349031.18119647767</v>
      </c>
      <c r="R24" s="224">
        <f t="shared" si="17"/>
        <v>359502.11663237197</v>
      </c>
    </row>
    <row r="25" spans="2:18" s="56" customFormat="1" ht="15.5" x14ac:dyDescent="0.35">
      <c r="B25" s="115" t="s">
        <v>88</v>
      </c>
      <c r="C25" s="151">
        <v>25</v>
      </c>
      <c r="D25" s="151">
        <v>20</v>
      </c>
      <c r="E25" s="151">
        <v>15</v>
      </c>
      <c r="F25" s="236">
        <v>50</v>
      </c>
      <c r="H25" s="119" t="s">
        <v>102</v>
      </c>
      <c r="I25" s="293">
        <f t="shared" ref="I25:R25" si="18">I$20*$C43</f>
        <v>61921.875</v>
      </c>
      <c r="J25" s="293">
        <f t="shared" si="18"/>
        <v>94867.032449999999</v>
      </c>
      <c r="K25" s="293">
        <f t="shared" si="18"/>
        <v>104396.37923999999</v>
      </c>
      <c r="L25" s="293">
        <f t="shared" si="18"/>
        <v>113836.24484283001</v>
      </c>
      <c r="M25" s="293">
        <f t="shared" si="18"/>
        <v>124043.87352471372</v>
      </c>
      <c r="N25" s="293">
        <f t="shared" si="18"/>
        <v>127765.18973045512</v>
      </c>
      <c r="O25" s="293">
        <f t="shared" si="18"/>
        <v>131953.58493973807</v>
      </c>
      <c r="P25" s="293">
        <f t="shared" si="18"/>
        <v>135546.08978503989</v>
      </c>
      <c r="Q25" s="293">
        <f t="shared" si="18"/>
        <v>139612.47247859108</v>
      </c>
      <c r="R25" s="224">
        <f t="shared" si="18"/>
        <v>143800.84665294879</v>
      </c>
    </row>
    <row r="26" spans="2:18" s="56" customFormat="1" ht="15.5" x14ac:dyDescent="0.35">
      <c r="B26" s="115" t="s">
        <v>89</v>
      </c>
      <c r="C26" s="151">
        <v>30</v>
      </c>
      <c r="D26" s="151">
        <v>20</v>
      </c>
      <c r="E26" s="151">
        <v>20</v>
      </c>
      <c r="F26" s="236">
        <v>60</v>
      </c>
      <c r="H26" s="111" t="s">
        <v>108</v>
      </c>
      <c r="I26" s="312">
        <f>SUM(I22:I25)</f>
        <v>423132.8125</v>
      </c>
      <c r="J26" s="312">
        <f t="shared" ref="J26:R26" si="19">SUM(J22:J25)</f>
        <v>648258.05507500004</v>
      </c>
      <c r="K26" s="312">
        <f t="shared" si="19"/>
        <v>713375.25813999993</v>
      </c>
      <c r="L26" s="312">
        <f t="shared" si="19"/>
        <v>777881.00642600504</v>
      </c>
      <c r="M26" s="312">
        <f t="shared" si="19"/>
        <v>847633.13575221051</v>
      </c>
      <c r="N26" s="312">
        <f t="shared" si="19"/>
        <v>873062.12982477678</v>
      </c>
      <c r="O26" s="312">
        <f t="shared" si="19"/>
        <v>901682.83042154345</v>
      </c>
      <c r="P26" s="312">
        <f t="shared" si="19"/>
        <v>926231.61353110592</v>
      </c>
      <c r="Q26" s="312">
        <f t="shared" si="19"/>
        <v>954018.56193703902</v>
      </c>
      <c r="R26" s="313">
        <f t="shared" si="19"/>
        <v>982639.11879515008</v>
      </c>
    </row>
    <row r="27" spans="2:18" s="56" customFormat="1" ht="15.5" x14ac:dyDescent="0.35">
      <c r="B27" s="116" t="s">
        <v>90</v>
      </c>
      <c r="C27" s="152">
        <v>5</v>
      </c>
      <c r="D27" s="152">
        <v>15</v>
      </c>
      <c r="E27" s="152">
        <v>15</v>
      </c>
      <c r="F27" s="237">
        <v>0</v>
      </c>
      <c r="H27" s="111" t="s">
        <v>58</v>
      </c>
      <c r="I27" s="312">
        <f>I20-I26</f>
        <v>92882.8125</v>
      </c>
      <c r="J27" s="312">
        <f t="shared" ref="J27:R27" si="20">J20-J26</f>
        <v>142300.54867499997</v>
      </c>
      <c r="K27" s="312">
        <f t="shared" si="20"/>
        <v>156594.56886</v>
      </c>
      <c r="L27" s="312">
        <f t="shared" si="20"/>
        <v>170754.36726424505</v>
      </c>
      <c r="M27" s="312">
        <f t="shared" si="20"/>
        <v>186065.81028707058</v>
      </c>
      <c r="N27" s="312">
        <f t="shared" si="20"/>
        <v>191647.78459568263</v>
      </c>
      <c r="O27" s="312">
        <f t="shared" si="20"/>
        <v>197930.37740960717</v>
      </c>
      <c r="P27" s="312">
        <f t="shared" si="20"/>
        <v>203319.13467755984</v>
      </c>
      <c r="Q27" s="312">
        <f t="shared" si="20"/>
        <v>209418.70871788659</v>
      </c>
      <c r="R27" s="313">
        <f t="shared" si="20"/>
        <v>215701.26997942326</v>
      </c>
    </row>
    <row r="28" spans="2:18" s="56" customFormat="1" ht="15.5" x14ac:dyDescent="0.35">
      <c r="F28" s="227"/>
      <c r="I28" s="123"/>
      <c r="J28" s="123"/>
      <c r="K28" s="123"/>
      <c r="L28" s="123"/>
      <c r="M28" s="123"/>
      <c r="N28" s="123"/>
      <c r="O28" s="123"/>
      <c r="P28" s="123"/>
      <c r="Q28" s="123"/>
      <c r="R28" s="123"/>
    </row>
    <row r="29" spans="2:18" s="56" customFormat="1" ht="16" thickBot="1" x14ac:dyDescent="0.4">
      <c r="B29" s="120" t="s">
        <v>95</v>
      </c>
      <c r="C29" s="150">
        <v>0.03</v>
      </c>
      <c r="D29" s="150">
        <v>0.03</v>
      </c>
      <c r="E29" s="150">
        <v>0.03</v>
      </c>
      <c r="F29" s="238">
        <v>0.03</v>
      </c>
      <c r="H29" s="101" t="str">
        <f>D6&amp;" P&amp;L"</f>
        <v>Bar P&amp;L</v>
      </c>
    </row>
    <row r="30" spans="2:18" s="56" customFormat="1" ht="15.5" x14ac:dyDescent="0.35">
      <c r="F30" s="227"/>
      <c r="H30" s="145"/>
      <c r="I30" s="125">
        <v>1</v>
      </c>
      <c r="J30" s="125">
        <v>2</v>
      </c>
      <c r="K30" s="125">
        <v>3</v>
      </c>
      <c r="L30" s="125">
        <v>4</v>
      </c>
      <c r="M30" s="125">
        <v>5</v>
      </c>
      <c r="N30" s="125">
        <v>6</v>
      </c>
      <c r="O30" s="125">
        <v>7</v>
      </c>
      <c r="P30" s="125">
        <v>8</v>
      </c>
      <c r="Q30" s="125">
        <v>9</v>
      </c>
      <c r="R30" s="126">
        <v>10</v>
      </c>
    </row>
    <row r="31" spans="2:18" s="56" customFormat="1" ht="16" thickBot="1" x14ac:dyDescent="0.4">
      <c r="B31" s="100" t="s">
        <v>96</v>
      </c>
      <c r="F31" s="227"/>
      <c r="H31" s="146"/>
      <c r="I31" s="147">
        <f>'Operating Cash Flow'!C6</f>
        <v>46234</v>
      </c>
      <c r="J31" s="147">
        <f>'Operating Cash Flow'!D6</f>
        <v>46599</v>
      </c>
      <c r="K31" s="147">
        <f>'Operating Cash Flow'!E6</f>
        <v>46965</v>
      </c>
      <c r="L31" s="147">
        <f>'Operating Cash Flow'!F6</f>
        <v>47330</v>
      </c>
      <c r="M31" s="147">
        <f>'Operating Cash Flow'!G6</f>
        <v>47695</v>
      </c>
      <c r="N31" s="147">
        <f>'Operating Cash Flow'!H6</f>
        <v>48060</v>
      </c>
      <c r="O31" s="147">
        <f>'Operating Cash Flow'!I6</f>
        <v>48426</v>
      </c>
      <c r="P31" s="147">
        <f>'Operating Cash Flow'!J6</f>
        <v>48791</v>
      </c>
      <c r="Q31" s="147">
        <f>'Operating Cash Flow'!K6</f>
        <v>49156</v>
      </c>
      <c r="R31" s="148">
        <f>'Operating Cash Flow'!L6</f>
        <v>49521</v>
      </c>
    </row>
    <row r="32" spans="2:18" s="56" customFormat="1" ht="15.5" x14ac:dyDescent="0.35">
      <c r="F32" s="227"/>
      <c r="H32" s="109" t="s">
        <v>66</v>
      </c>
      <c r="I32" s="307">
        <f>I7</f>
        <v>27375</v>
      </c>
      <c r="J32" s="307">
        <f t="shared" ref="J32:R32" si="21">J7</f>
        <v>41063</v>
      </c>
      <c r="K32" s="307">
        <f t="shared" si="21"/>
        <v>43920</v>
      </c>
      <c r="L32" s="307">
        <f t="shared" si="21"/>
        <v>46538</v>
      </c>
      <c r="M32" s="307">
        <f t="shared" si="21"/>
        <v>49275</v>
      </c>
      <c r="N32" s="307">
        <f t="shared" si="21"/>
        <v>49275</v>
      </c>
      <c r="O32" s="307">
        <f t="shared" si="21"/>
        <v>49410</v>
      </c>
      <c r="P32" s="307">
        <f t="shared" si="21"/>
        <v>49275</v>
      </c>
      <c r="Q32" s="307">
        <f t="shared" si="21"/>
        <v>49275</v>
      </c>
      <c r="R32" s="308">
        <f t="shared" si="21"/>
        <v>49275</v>
      </c>
    </row>
    <row r="33" spans="2:19" s="56" customFormat="1" ht="15.5" x14ac:dyDescent="0.35">
      <c r="B33" s="113" t="s">
        <v>97</v>
      </c>
      <c r="C33" s="118" t="str">
        <f>C6</f>
        <v>Restaurant</v>
      </c>
      <c r="D33" s="118" t="str">
        <f>D6</f>
        <v>Bar</v>
      </c>
      <c r="E33" s="118" t="str">
        <f>E6</f>
        <v>Room Service</v>
      </c>
      <c r="F33" s="235" t="str">
        <f>F6</f>
        <v>Banquet Catering</v>
      </c>
      <c r="H33" s="109" t="s">
        <v>104</v>
      </c>
      <c r="I33" s="309">
        <f>I8</f>
        <v>41062.5</v>
      </c>
      <c r="J33" s="309">
        <f t="shared" ref="J33:R33" si="22">J8</f>
        <v>61594.5</v>
      </c>
      <c r="K33" s="309">
        <f t="shared" si="22"/>
        <v>65880</v>
      </c>
      <c r="L33" s="309">
        <f t="shared" si="22"/>
        <v>69807</v>
      </c>
      <c r="M33" s="309">
        <f t="shared" si="22"/>
        <v>73912.5</v>
      </c>
      <c r="N33" s="309">
        <f t="shared" si="22"/>
        <v>73912.5</v>
      </c>
      <c r="O33" s="309">
        <f t="shared" si="22"/>
        <v>74115</v>
      </c>
      <c r="P33" s="309">
        <f t="shared" si="22"/>
        <v>73912.5</v>
      </c>
      <c r="Q33" s="309">
        <f t="shared" si="22"/>
        <v>73912.5</v>
      </c>
      <c r="R33" s="310">
        <f t="shared" si="22"/>
        <v>73912.5</v>
      </c>
    </row>
    <row r="34" spans="2:19" s="56" customFormat="1" ht="15.5" x14ac:dyDescent="0.35">
      <c r="B34" s="115" t="s">
        <v>87</v>
      </c>
      <c r="C34" s="121">
        <f t="shared" ref="C34:F37" si="23">C24*C$44</f>
        <v>12.299999999999999</v>
      </c>
      <c r="D34" s="121">
        <f t="shared" si="23"/>
        <v>0</v>
      </c>
      <c r="E34" s="121">
        <f t="shared" si="23"/>
        <v>20.5</v>
      </c>
      <c r="F34" s="239">
        <f t="shared" si="23"/>
        <v>36</v>
      </c>
      <c r="H34" s="109" t="s">
        <v>105</v>
      </c>
      <c r="I34" s="307">
        <f>D21</f>
        <v>950</v>
      </c>
      <c r="J34" s="307">
        <f>I34</f>
        <v>950</v>
      </c>
      <c r="K34" s="307">
        <f t="shared" ref="K34:R34" si="24">J34</f>
        <v>950</v>
      </c>
      <c r="L34" s="307">
        <f t="shared" si="24"/>
        <v>950</v>
      </c>
      <c r="M34" s="307">
        <f t="shared" si="24"/>
        <v>950</v>
      </c>
      <c r="N34" s="307">
        <f t="shared" si="24"/>
        <v>950</v>
      </c>
      <c r="O34" s="307">
        <f t="shared" si="24"/>
        <v>950</v>
      </c>
      <c r="P34" s="307">
        <f t="shared" si="24"/>
        <v>950</v>
      </c>
      <c r="Q34" s="307">
        <f t="shared" si="24"/>
        <v>950</v>
      </c>
      <c r="R34" s="308">
        <f t="shared" si="24"/>
        <v>950</v>
      </c>
    </row>
    <row r="35" spans="2:19" s="56" customFormat="1" ht="15.5" x14ac:dyDescent="0.35">
      <c r="B35" s="115" t="s">
        <v>88</v>
      </c>
      <c r="C35" s="121">
        <f t="shared" si="23"/>
        <v>20.5</v>
      </c>
      <c r="D35" s="121">
        <f t="shared" si="23"/>
        <v>12.4</v>
      </c>
      <c r="E35" s="121">
        <f t="shared" si="23"/>
        <v>12.299999999999999</v>
      </c>
      <c r="F35" s="239">
        <f t="shared" si="23"/>
        <v>36</v>
      </c>
      <c r="H35" s="223" t="s">
        <v>106</v>
      </c>
      <c r="I35" s="287"/>
      <c r="J35" s="287"/>
      <c r="K35" s="287"/>
      <c r="L35" s="287"/>
      <c r="M35" s="287"/>
      <c r="N35" s="287"/>
      <c r="O35" s="287"/>
      <c r="P35" s="287"/>
      <c r="Q35" s="287"/>
      <c r="R35" s="311"/>
    </row>
    <row r="36" spans="2:19" s="56" customFormat="1" ht="15.5" x14ac:dyDescent="0.35">
      <c r="B36" s="115" t="s">
        <v>89</v>
      </c>
      <c r="C36" s="121">
        <f t="shared" si="23"/>
        <v>24.599999999999998</v>
      </c>
      <c r="D36" s="121">
        <f t="shared" si="23"/>
        <v>12.4</v>
      </c>
      <c r="E36" s="121">
        <f t="shared" si="23"/>
        <v>16.399999999999999</v>
      </c>
      <c r="F36" s="239">
        <f t="shared" si="23"/>
        <v>43.199999999999996</v>
      </c>
      <c r="H36" s="115" t="s">
        <v>87</v>
      </c>
      <c r="I36" s="309">
        <f t="shared" ref="I36:R36" si="25">$D17+($D11*I$33)</f>
        <v>0</v>
      </c>
      <c r="J36" s="309">
        <f t="shared" si="25"/>
        <v>0</v>
      </c>
      <c r="K36" s="309">
        <f t="shared" si="25"/>
        <v>0</v>
      </c>
      <c r="L36" s="309">
        <f t="shared" si="25"/>
        <v>0</v>
      </c>
      <c r="M36" s="309">
        <f t="shared" si="25"/>
        <v>0</v>
      </c>
      <c r="N36" s="309">
        <f t="shared" si="25"/>
        <v>0</v>
      </c>
      <c r="O36" s="309">
        <f t="shared" si="25"/>
        <v>0</v>
      </c>
      <c r="P36" s="309">
        <f t="shared" si="25"/>
        <v>0</v>
      </c>
      <c r="Q36" s="309">
        <f t="shared" si="25"/>
        <v>0</v>
      </c>
      <c r="R36" s="310">
        <f t="shared" si="25"/>
        <v>0</v>
      </c>
    </row>
    <row r="37" spans="2:19" s="56" customFormat="1" ht="15.5" x14ac:dyDescent="0.35">
      <c r="B37" s="116" t="s">
        <v>90</v>
      </c>
      <c r="C37" s="122">
        <f t="shared" si="23"/>
        <v>4.0999999999999996</v>
      </c>
      <c r="D37" s="122">
        <f t="shared" si="23"/>
        <v>9.3000000000000007</v>
      </c>
      <c r="E37" s="122">
        <f t="shared" si="23"/>
        <v>12.299999999999999</v>
      </c>
      <c r="F37" s="240">
        <f t="shared" si="23"/>
        <v>0</v>
      </c>
      <c r="H37" s="115" t="s">
        <v>88</v>
      </c>
      <c r="I37" s="309">
        <f t="shared" ref="I37:R37" si="26">$D18+($D12*I$33)</f>
        <v>921.25</v>
      </c>
      <c r="J37" s="309">
        <f t="shared" si="26"/>
        <v>1331.89</v>
      </c>
      <c r="K37" s="309">
        <f t="shared" si="26"/>
        <v>1417.6000000000001</v>
      </c>
      <c r="L37" s="309">
        <f t="shared" si="26"/>
        <v>1496.14</v>
      </c>
      <c r="M37" s="309">
        <f t="shared" si="26"/>
        <v>1578.25</v>
      </c>
      <c r="N37" s="309">
        <f t="shared" si="26"/>
        <v>1578.25</v>
      </c>
      <c r="O37" s="309">
        <f t="shared" si="26"/>
        <v>1582.3</v>
      </c>
      <c r="P37" s="309">
        <f t="shared" si="26"/>
        <v>1578.25</v>
      </c>
      <c r="Q37" s="309">
        <f t="shared" si="26"/>
        <v>1578.25</v>
      </c>
      <c r="R37" s="310">
        <f t="shared" si="26"/>
        <v>1578.25</v>
      </c>
    </row>
    <row r="38" spans="2:19" s="56" customFormat="1" ht="15.5" x14ac:dyDescent="0.35">
      <c r="F38" s="227"/>
      <c r="H38" s="115" t="s">
        <v>89</v>
      </c>
      <c r="I38" s="309">
        <f t="shared" ref="I38:R38" si="27">$D19+($D13*I$33)</f>
        <v>16625</v>
      </c>
      <c r="J38" s="309">
        <f t="shared" si="27"/>
        <v>24837.800000000003</v>
      </c>
      <c r="K38" s="309">
        <f t="shared" si="27"/>
        <v>26552</v>
      </c>
      <c r="L38" s="309">
        <f t="shared" si="27"/>
        <v>28122.800000000003</v>
      </c>
      <c r="M38" s="309">
        <f t="shared" si="27"/>
        <v>29765</v>
      </c>
      <c r="N38" s="309">
        <f t="shared" si="27"/>
        <v>29765</v>
      </c>
      <c r="O38" s="309">
        <f t="shared" si="27"/>
        <v>29846</v>
      </c>
      <c r="P38" s="309">
        <f t="shared" si="27"/>
        <v>29765</v>
      </c>
      <c r="Q38" s="309">
        <f t="shared" si="27"/>
        <v>29765</v>
      </c>
      <c r="R38" s="310">
        <f t="shared" si="27"/>
        <v>29765</v>
      </c>
    </row>
    <row r="39" spans="2:19" s="56" customFormat="1" ht="15.5" x14ac:dyDescent="0.35">
      <c r="B39" s="113" t="s">
        <v>103</v>
      </c>
      <c r="C39" s="114" t="str">
        <f>C6</f>
        <v>Restaurant</v>
      </c>
      <c r="D39" s="114" t="str">
        <f>D6</f>
        <v>Bar</v>
      </c>
      <c r="E39" s="114" t="str">
        <f>E6</f>
        <v>Room Service</v>
      </c>
      <c r="F39" s="229" t="str">
        <f>F6</f>
        <v>Banquet Catering</v>
      </c>
      <c r="H39" s="115" t="s">
        <v>90</v>
      </c>
      <c r="I39" s="309">
        <f t="shared" ref="I39:R39" si="28">$D20+($D14*I$33)</f>
        <v>4756.25</v>
      </c>
      <c r="J39" s="309">
        <f t="shared" si="28"/>
        <v>6809.4500000000007</v>
      </c>
      <c r="K39" s="309">
        <f t="shared" si="28"/>
        <v>7238</v>
      </c>
      <c r="L39" s="309">
        <f t="shared" si="28"/>
        <v>7630.7000000000007</v>
      </c>
      <c r="M39" s="309">
        <f t="shared" si="28"/>
        <v>8041.25</v>
      </c>
      <c r="N39" s="309">
        <f t="shared" si="28"/>
        <v>8041.25</v>
      </c>
      <c r="O39" s="309">
        <f t="shared" si="28"/>
        <v>8061.5</v>
      </c>
      <c r="P39" s="309">
        <f t="shared" si="28"/>
        <v>8041.25</v>
      </c>
      <c r="Q39" s="309">
        <f t="shared" si="28"/>
        <v>8041.25</v>
      </c>
      <c r="R39" s="310">
        <f t="shared" si="28"/>
        <v>8041.25</v>
      </c>
    </row>
    <row r="40" spans="2:19" s="56" customFormat="1" ht="15.5" x14ac:dyDescent="0.35">
      <c r="B40" s="115" t="s">
        <v>101</v>
      </c>
      <c r="C40" s="149">
        <v>0.4</v>
      </c>
      <c r="D40" s="149">
        <v>0.2</v>
      </c>
      <c r="E40" s="149">
        <v>0.4</v>
      </c>
      <c r="F40" s="241">
        <v>0.3</v>
      </c>
      <c r="H40" s="223" t="s">
        <v>83</v>
      </c>
      <c r="I40" s="287"/>
      <c r="J40" s="287"/>
      <c r="K40" s="287"/>
      <c r="L40" s="287"/>
      <c r="M40" s="287"/>
      <c r="N40" s="287"/>
      <c r="O40" s="287"/>
      <c r="P40" s="287"/>
      <c r="Q40" s="287"/>
      <c r="R40" s="224"/>
      <c r="S40" s="123"/>
    </row>
    <row r="41" spans="2:19" s="56" customFormat="1" ht="15.5" x14ac:dyDescent="0.35">
      <c r="B41" s="115" t="s">
        <v>99</v>
      </c>
      <c r="C41" s="149">
        <v>0</v>
      </c>
      <c r="D41" s="149">
        <v>0</v>
      </c>
      <c r="E41" s="149">
        <v>0</v>
      </c>
      <c r="F41" s="241">
        <v>0</v>
      </c>
      <c r="H41" s="115" t="str">
        <f>H36</f>
        <v>Breakfast</v>
      </c>
      <c r="I41" s="293">
        <f>I36*$D$24</f>
        <v>0</v>
      </c>
      <c r="J41" s="293">
        <f t="shared" ref="J41:R41" si="29">J36*$D$24*(1+$D$29)^I$30</f>
        <v>0</v>
      </c>
      <c r="K41" s="293">
        <f t="shared" si="29"/>
        <v>0</v>
      </c>
      <c r="L41" s="293">
        <f t="shared" si="29"/>
        <v>0</v>
      </c>
      <c r="M41" s="293">
        <f t="shared" si="29"/>
        <v>0</v>
      </c>
      <c r="N41" s="293">
        <f t="shared" si="29"/>
        <v>0</v>
      </c>
      <c r="O41" s="293">
        <f t="shared" si="29"/>
        <v>0</v>
      </c>
      <c r="P41" s="293">
        <f t="shared" si="29"/>
        <v>0</v>
      </c>
      <c r="Q41" s="293">
        <f t="shared" si="29"/>
        <v>0</v>
      </c>
      <c r="R41" s="224">
        <f t="shared" si="29"/>
        <v>0</v>
      </c>
    </row>
    <row r="42" spans="2:19" s="56" customFormat="1" ht="15.5" x14ac:dyDescent="0.35">
      <c r="B42" s="115" t="s">
        <v>100</v>
      </c>
      <c r="C42" s="149">
        <v>0.3</v>
      </c>
      <c r="D42" s="149">
        <v>0.3</v>
      </c>
      <c r="E42" s="149">
        <v>0.3</v>
      </c>
      <c r="F42" s="241">
        <v>0.3</v>
      </c>
      <c r="H42" s="115" t="str">
        <f t="shared" ref="H42:H44" si="30">H37</f>
        <v>Lunch</v>
      </c>
      <c r="I42" s="293">
        <f>I37*$D$25</f>
        <v>18425</v>
      </c>
      <c r="J42" s="293">
        <f t="shared" ref="J42:R42" si="31">J37*$D$25*(1+$D$29)^I$30</f>
        <v>27436.934000000005</v>
      </c>
      <c r="K42" s="293">
        <f t="shared" si="31"/>
        <v>30078.636800000004</v>
      </c>
      <c r="L42" s="293">
        <f t="shared" si="31"/>
        <v>32697.451475600003</v>
      </c>
      <c r="M42" s="293">
        <f t="shared" si="31"/>
        <v>35526.685587649998</v>
      </c>
      <c r="N42" s="293">
        <f t="shared" si="31"/>
        <v>36592.486155279497</v>
      </c>
      <c r="O42" s="293">
        <f t="shared" si="31"/>
        <v>37786.978975956728</v>
      </c>
      <c r="P42" s="293">
        <f t="shared" si="31"/>
        <v>38820.968562136019</v>
      </c>
      <c r="Q42" s="293">
        <f t="shared" si="31"/>
        <v>39985.597619000095</v>
      </c>
      <c r="R42" s="224">
        <f t="shared" si="31"/>
        <v>41185.165547570105</v>
      </c>
    </row>
    <row r="43" spans="2:19" s="56" customFormat="1" ht="16" thickBot="1" x14ac:dyDescent="0.4">
      <c r="B43" s="115" t="s">
        <v>102</v>
      </c>
      <c r="C43" s="149">
        <v>0.12</v>
      </c>
      <c r="D43" s="149">
        <v>0.12</v>
      </c>
      <c r="E43" s="149">
        <v>0.12</v>
      </c>
      <c r="F43" s="241">
        <v>0.12</v>
      </c>
      <c r="H43" s="115" t="str">
        <f t="shared" si="30"/>
        <v>Dinner</v>
      </c>
      <c r="I43" s="293">
        <f>I38*$D$26</f>
        <v>332500</v>
      </c>
      <c r="J43" s="293">
        <f t="shared" ref="J43:R43" si="32">J38*$D$26*(1+$D$29)^I$30</f>
        <v>511658.68000000005</v>
      </c>
      <c r="K43" s="293">
        <f t="shared" si="32"/>
        <v>563380.33600000001</v>
      </c>
      <c r="L43" s="293">
        <f t="shared" si="32"/>
        <v>614610.85751200002</v>
      </c>
      <c r="M43" s="293">
        <f t="shared" si="32"/>
        <v>670015.39459299995</v>
      </c>
      <c r="N43" s="293">
        <f t="shared" si="32"/>
        <v>690115.85643078992</v>
      </c>
      <c r="O43" s="293">
        <f t="shared" si="32"/>
        <v>712753.69684409059</v>
      </c>
      <c r="P43" s="293">
        <f t="shared" si="32"/>
        <v>732143.91208742512</v>
      </c>
      <c r="Q43" s="293">
        <f t="shared" si="32"/>
        <v>754108.22945004771</v>
      </c>
      <c r="R43" s="224">
        <f t="shared" si="32"/>
        <v>776731.47633354925</v>
      </c>
    </row>
    <row r="44" spans="2:19" s="56" customFormat="1" ht="16" thickBot="1" x14ac:dyDescent="0.4">
      <c r="B44" s="243" t="s">
        <v>48</v>
      </c>
      <c r="C44" s="124">
        <f>SUM(C40:C43)</f>
        <v>0.82</v>
      </c>
      <c r="D44" s="124">
        <f t="shared" ref="D44:F44" si="33">SUM(D40:D43)</f>
        <v>0.62</v>
      </c>
      <c r="E44" s="124">
        <f t="shared" si="33"/>
        <v>0.82</v>
      </c>
      <c r="F44" s="242">
        <f t="shared" si="33"/>
        <v>0.72</v>
      </c>
      <c r="H44" s="115" t="str">
        <f t="shared" si="30"/>
        <v>Overnight</v>
      </c>
      <c r="I44" s="293">
        <f>I39*$D$27</f>
        <v>71343.75</v>
      </c>
      <c r="J44" s="293">
        <f t="shared" ref="J44:R44" si="34">J39*$D$27*(1+$D$29)^I$30</f>
        <v>105206.00250000002</v>
      </c>
      <c r="K44" s="293">
        <f t="shared" si="34"/>
        <v>115181.913</v>
      </c>
      <c r="L44" s="293">
        <f t="shared" si="34"/>
        <v>125074.07878350002</v>
      </c>
      <c r="M44" s="293">
        <f t="shared" si="34"/>
        <v>135757.46577618748</v>
      </c>
      <c r="N44" s="293">
        <f t="shared" si="34"/>
        <v>139830.18974947309</v>
      </c>
      <c r="O44" s="293">
        <f t="shared" si="34"/>
        <v>144387.78882702798</v>
      </c>
      <c r="P44" s="293">
        <f t="shared" si="34"/>
        <v>148345.84830521603</v>
      </c>
      <c r="Q44" s="293">
        <f t="shared" si="34"/>
        <v>152796.22375437251</v>
      </c>
      <c r="R44" s="224">
        <f t="shared" si="34"/>
        <v>157380.11046700369</v>
      </c>
    </row>
    <row r="45" spans="2:19" s="56" customFormat="1" ht="15.5" x14ac:dyDescent="0.35">
      <c r="F45" s="227"/>
      <c r="H45" s="111" t="s">
        <v>83</v>
      </c>
      <c r="I45" s="312">
        <f>SUM(I41:I44)</f>
        <v>422268.75</v>
      </c>
      <c r="J45" s="312">
        <f t="shared" ref="J45:R45" si="35">SUM(J41:J44)</f>
        <v>644301.61650000012</v>
      </c>
      <c r="K45" s="312">
        <f t="shared" si="35"/>
        <v>708640.88580000005</v>
      </c>
      <c r="L45" s="312">
        <f t="shared" si="35"/>
        <v>772382.38777110004</v>
      </c>
      <c r="M45" s="312">
        <f t="shared" si="35"/>
        <v>841299.54595683748</v>
      </c>
      <c r="N45" s="312">
        <f t="shared" si="35"/>
        <v>866538.53233554249</v>
      </c>
      <c r="O45" s="312">
        <f t="shared" si="35"/>
        <v>894928.46464707528</v>
      </c>
      <c r="P45" s="312">
        <f t="shared" si="35"/>
        <v>919310.72895477724</v>
      </c>
      <c r="Q45" s="312">
        <f t="shared" si="35"/>
        <v>946890.05082342029</v>
      </c>
      <c r="R45" s="313">
        <f t="shared" si="35"/>
        <v>975296.752348123</v>
      </c>
    </row>
    <row r="46" spans="2:19" s="56" customFormat="1" ht="15.5" x14ac:dyDescent="0.35">
      <c r="F46" s="227"/>
      <c r="H46" s="117" t="s">
        <v>107</v>
      </c>
      <c r="I46" s="314"/>
      <c r="J46" s="314"/>
      <c r="K46" s="314"/>
      <c r="L46" s="315"/>
      <c r="M46" s="315"/>
      <c r="N46" s="315"/>
      <c r="O46" s="315"/>
      <c r="P46" s="315"/>
      <c r="Q46" s="315"/>
      <c r="R46" s="316"/>
    </row>
    <row r="47" spans="2:19" s="56" customFormat="1" ht="15.5" x14ac:dyDescent="0.35">
      <c r="F47" s="227"/>
      <c r="H47" s="115" t="s">
        <v>101</v>
      </c>
      <c r="I47" s="293">
        <f t="shared" ref="I47:R47" si="36">I$45*$D40</f>
        <v>84453.75</v>
      </c>
      <c r="J47" s="293">
        <f t="shared" si="36"/>
        <v>128860.32330000003</v>
      </c>
      <c r="K47" s="293">
        <f t="shared" si="36"/>
        <v>141728.17716000002</v>
      </c>
      <c r="L47" s="293">
        <f t="shared" si="36"/>
        <v>154476.47755422001</v>
      </c>
      <c r="M47" s="293">
        <f t="shared" si="36"/>
        <v>168259.90919136751</v>
      </c>
      <c r="N47" s="293">
        <f t="shared" si="36"/>
        <v>173307.70646710851</v>
      </c>
      <c r="O47" s="293">
        <f t="shared" si="36"/>
        <v>178985.69292941506</v>
      </c>
      <c r="P47" s="293">
        <f t="shared" si="36"/>
        <v>183862.14579095546</v>
      </c>
      <c r="Q47" s="293">
        <f t="shared" si="36"/>
        <v>189378.01016468406</v>
      </c>
      <c r="R47" s="224">
        <f t="shared" si="36"/>
        <v>195059.35046962462</v>
      </c>
    </row>
    <row r="48" spans="2:19" s="56" customFormat="1" ht="15.5" x14ac:dyDescent="0.35">
      <c r="F48" s="227"/>
      <c r="H48" s="36" t="s">
        <v>99</v>
      </c>
      <c r="I48" s="293">
        <f t="shared" ref="I48:R48" si="37">I$45*$D41</f>
        <v>0</v>
      </c>
      <c r="J48" s="293">
        <f t="shared" si="37"/>
        <v>0</v>
      </c>
      <c r="K48" s="293">
        <f t="shared" si="37"/>
        <v>0</v>
      </c>
      <c r="L48" s="293">
        <f t="shared" si="37"/>
        <v>0</v>
      </c>
      <c r="M48" s="293">
        <f t="shared" si="37"/>
        <v>0</v>
      </c>
      <c r="N48" s="293">
        <f t="shared" si="37"/>
        <v>0</v>
      </c>
      <c r="O48" s="293">
        <f t="shared" si="37"/>
        <v>0</v>
      </c>
      <c r="P48" s="293">
        <f t="shared" si="37"/>
        <v>0</v>
      </c>
      <c r="Q48" s="293">
        <f t="shared" si="37"/>
        <v>0</v>
      </c>
      <c r="R48" s="224">
        <f t="shared" si="37"/>
        <v>0</v>
      </c>
    </row>
    <row r="49" spans="6:19" s="56" customFormat="1" ht="15.5" x14ac:dyDescent="0.35">
      <c r="F49" s="227"/>
      <c r="H49" s="119" t="s">
        <v>100</v>
      </c>
      <c r="I49" s="293">
        <f t="shared" ref="I49:R49" si="38">I$45*$D42</f>
        <v>126680.625</v>
      </c>
      <c r="J49" s="293">
        <f t="shared" si="38"/>
        <v>193290.48495000004</v>
      </c>
      <c r="K49" s="293">
        <f t="shared" si="38"/>
        <v>212592.26574</v>
      </c>
      <c r="L49" s="293">
        <f t="shared" si="38"/>
        <v>231714.71633133001</v>
      </c>
      <c r="M49" s="293">
        <f t="shared" si="38"/>
        <v>252389.86378705123</v>
      </c>
      <c r="N49" s="293">
        <f t="shared" si="38"/>
        <v>259961.55970066274</v>
      </c>
      <c r="O49" s="293">
        <f t="shared" si="38"/>
        <v>268478.53939412255</v>
      </c>
      <c r="P49" s="293">
        <f t="shared" si="38"/>
        <v>275793.21868643316</v>
      </c>
      <c r="Q49" s="293">
        <f t="shared" si="38"/>
        <v>284067.01524702605</v>
      </c>
      <c r="R49" s="224">
        <f t="shared" si="38"/>
        <v>292589.02570443688</v>
      </c>
    </row>
    <row r="50" spans="6:19" s="56" customFormat="1" ht="15.5" x14ac:dyDescent="0.35">
      <c r="F50" s="227"/>
      <c r="H50" s="119" t="s">
        <v>102</v>
      </c>
      <c r="I50" s="293">
        <f t="shared" ref="I50:R50" si="39">I$45*$D43</f>
        <v>50672.25</v>
      </c>
      <c r="J50" s="293">
        <f t="shared" si="39"/>
        <v>77316.193980000011</v>
      </c>
      <c r="K50" s="293">
        <f t="shared" si="39"/>
        <v>85036.906296000001</v>
      </c>
      <c r="L50" s="293">
        <f t="shared" si="39"/>
        <v>92685.886532532008</v>
      </c>
      <c r="M50" s="293">
        <f t="shared" si="39"/>
        <v>100955.94551482049</v>
      </c>
      <c r="N50" s="293">
        <f t="shared" si="39"/>
        <v>103984.62388026509</v>
      </c>
      <c r="O50" s="293">
        <f t="shared" si="39"/>
        <v>107391.41575764903</v>
      </c>
      <c r="P50" s="293">
        <f t="shared" si="39"/>
        <v>110317.28747457327</v>
      </c>
      <c r="Q50" s="293">
        <f t="shared" si="39"/>
        <v>113626.80609881043</v>
      </c>
      <c r="R50" s="224">
        <f t="shared" si="39"/>
        <v>117035.61028177476</v>
      </c>
    </row>
    <row r="51" spans="6:19" s="56" customFormat="1" ht="15.5" x14ac:dyDescent="0.35">
      <c r="F51" s="227"/>
      <c r="H51" s="111" t="s">
        <v>108</v>
      </c>
      <c r="I51" s="312">
        <f>SUM(I47:I50)</f>
        <v>261806.625</v>
      </c>
      <c r="J51" s="312">
        <f t="shared" ref="J51" si="40">SUM(J47:J50)</f>
        <v>399467.0022300001</v>
      </c>
      <c r="K51" s="312">
        <f t="shared" ref="K51" si="41">SUM(K47:K50)</f>
        <v>439357.34919600002</v>
      </c>
      <c r="L51" s="312">
        <f t="shared" ref="L51" si="42">SUM(L47:L50)</f>
        <v>478877.08041808201</v>
      </c>
      <c r="M51" s="312">
        <f t="shared" ref="M51" si="43">SUM(M47:M50)</f>
        <v>521605.71849323926</v>
      </c>
      <c r="N51" s="312">
        <f t="shared" ref="N51" si="44">SUM(N47:N50)</f>
        <v>537253.89004803635</v>
      </c>
      <c r="O51" s="312">
        <f t="shared" ref="O51" si="45">SUM(O47:O50)</f>
        <v>554855.64808118658</v>
      </c>
      <c r="P51" s="312">
        <f t="shared" ref="P51" si="46">SUM(P47:P50)</f>
        <v>569972.65195196192</v>
      </c>
      <c r="Q51" s="312">
        <f t="shared" ref="Q51" si="47">SUM(Q47:Q50)</f>
        <v>587071.83151052054</v>
      </c>
      <c r="R51" s="313">
        <f t="shared" ref="R51" si="48">SUM(R47:R50)</f>
        <v>604683.98645583622</v>
      </c>
    </row>
    <row r="52" spans="6:19" s="56" customFormat="1" ht="15.5" x14ac:dyDescent="0.35">
      <c r="F52" s="227"/>
      <c r="H52" s="111" t="s">
        <v>58</v>
      </c>
      <c r="I52" s="312">
        <f>I45-I51</f>
        <v>160462.125</v>
      </c>
      <c r="J52" s="312">
        <f t="shared" ref="J52" si="49">J45-J51</f>
        <v>244834.61427000002</v>
      </c>
      <c r="K52" s="312">
        <f t="shared" ref="K52" si="50">K45-K51</f>
        <v>269283.53660400002</v>
      </c>
      <c r="L52" s="312">
        <f t="shared" ref="L52" si="51">L45-L51</f>
        <v>293505.30735301803</v>
      </c>
      <c r="M52" s="312">
        <f t="shared" ref="M52" si="52">M45-M51</f>
        <v>319693.82746359822</v>
      </c>
      <c r="N52" s="312">
        <f t="shared" ref="N52" si="53">N45-N51</f>
        <v>329284.64228750614</v>
      </c>
      <c r="O52" s="312">
        <f t="shared" ref="O52" si="54">O45-O51</f>
        <v>340072.8165658887</v>
      </c>
      <c r="P52" s="312">
        <f t="shared" ref="P52" si="55">P45-P51</f>
        <v>349338.07700281532</v>
      </c>
      <c r="Q52" s="312">
        <f t="shared" ref="Q52" si="56">Q45-Q51</f>
        <v>359818.21931289975</v>
      </c>
      <c r="R52" s="313">
        <f t="shared" ref="R52" si="57">R45-R51</f>
        <v>370612.76589228678</v>
      </c>
    </row>
    <row r="53" spans="6:19" s="56" customFormat="1" ht="15.5" x14ac:dyDescent="0.35">
      <c r="F53" s="227"/>
    </row>
    <row r="54" spans="6:19" s="56" customFormat="1" ht="16" thickBot="1" x14ac:dyDescent="0.4">
      <c r="F54" s="227"/>
      <c r="H54" s="101" t="str">
        <f>E6&amp;" P&amp;L"</f>
        <v>Room Service P&amp;L</v>
      </c>
    </row>
    <row r="55" spans="6:19" s="56" customFormat="1" ht="15.5" x14ac:dyDescent="0.35">
      <c r="F55" s="227"/>
      <c r="H55" s="145"/>
      <c r="I55" s="125">
        <v>1</v>
      </c>
      <c r="J55" s="125">
        <v>2</v>
      </c>
      <c r="K55" s="125">
        <v>3</v>
      </c>
      <c r="L55" s="125">
        <v>4</v>
      </c>
      <c r="M55" s="125">
        <v>5</v>
      </c>
      <c r="N55" s="125">
        <v>6</v>
      </c>
      <c r="O55" s="125">
        <v>7</v>
      </c>
      <c r="P55" s="125">
        <v>8</v>
      </c>
      <c r="Q55" s="125">
        <v>9</v>
      </c>
      <c r="R55" s="126">
        <v>10</v>
      </c>
    </row>
    <row r="56" spans="6:19" s="56" customFormat="1" ht="16" thickBot="1" x14ac:dyDescent="0.4">
      <c r="F56" s="227"/>
      <c r="H56" s="146"/>
      <c r="I56" s="147">
        <f>'Operating Cash Flow'!C6</f>
        <v>46234</v>
      </c>
      <c r="J56" s="147">
        <f>'Operating Cash Flow'!D6</f>
        <v>46599</v>
      </c>
      <c r="K56" s="147">
        <f>'Operating Cash Flow'!E6</f>
        <v>46965</v>
      </c>
      <c r="L56" s="147">
        <f>'Operating Cash Flow'!F6</f>
        <v>47330</v>
      </c>
      <c r="M56" s="147">
        <f>'Operating Cash Flow'!G6</f>
        <v>47695</v>
      </c>
      <c r="N56" s="147">
        <f>'Operating Cash Flow'!H6</f>
        <v>48060</v>
      </c>
      <c r="O56" s="147">
        <f>'Operating Cash Flow'!I6</f>
        <v>48426</v>
      </c>
      <c r="P56" s="147">
        <f>'Operating Cash Flow'!J6</f>
        <v>48791</v>
      </c>
      <c r="Q56" s="147">
        <f>'Operating Cash Flow'!K6</f>
        <v>49156</v>
      </c>
      <c r="R56" s="148">
        <f>'Operating Cash Flow'!L6</f>
        <v>49521</v>
      </c>
    </row>
    <row r="57" spans="6:19" s="56" customFormat="1" ht="15.5" x14ac:dyDescent="0.35">
      <c r="F57" s="227"/>
      <c r="H57" s="109" t="s">
        <v>66</v>
      </c>
      <c r="I57" s="307">
        <f>I7</f>
        <v>27375</v>
      </c>
      <c r="J57" s="307">
        <f t="shared" ref="J57:R57" si="58">J7</f>
        <v>41063</v>
      </c>
      <c r="K57" s="307">
        <f t="shared" si="58"/>
        <v>43920</v>
      </c>
      <c r="L57" s="307">
        <f t="shared" si="58"/>
        <v>46538</v>
      </c>
      <c r="M57" s="307">
        <f t="shared" si="58"/>
        <v>49275</v>
      </c>
      <c r="N57" s="307">
        <f t="shared" si="58"/>
        <v>49275</v>
      </c>
      <c r="O57" s="307">
        <f t="shared" si="58"/>
        <v>49410</v>
      </c>
      <c r="P57" s="307">
        <f t="shared" si="58"/>
        <v>49275</v>
      </c>
      <c r="Q57" s="307">
        <f t="shared" si="58"/>
        <v>49275</v>
      </c>
      <c r="R57" s="308">
        <f t="shared" si="58"/>
        <v>49275</v>
      </c>
    </row>
    <row r="58" spans="6:19" s="56" customFormat="1" ht="15.5" x14ac:dyDescent="0.35">
      <c r="F58" s="227"/>
      <c r="H58" s="109" t="s">
        <v>104</v>
      </c>
      <c r="I58" s="309">
        <f>I8</f>
        <v>41062.5</v>
      </c>
      <c r="J58" s="309">
        <f t="shared" ref="J58:R58" si="59">J8</f>
        <v>61594.5</v>
      </c>
      <c r="K58" s="309">
        <f t="shared" si="59"/>
        <v>65880</v>
      </c>
      <c r="L58" s="309">
        <f t="shared" si="59"/>
        <v>69807</v>
      </c>
      <c r="M58" s="309">
        <f t="shared" si="59"/>
        <v>73912.5</v>
      </c>
      <c r="N58" s="309">
        <f t="shared" si="59"/>
        <v>73912.5</v>
      </c>
      <c r="O58" s="309">
        <f t="shared" si="59"/>
        <v>74115</v>
      </c>
      <c r="P58" s="309">
        <f t="shared" si="59"/>
        <v>73912.5</v>
      </c>
      <c r="Q58" s="309">
        <f t="shared" si="59"/>
        <v>73912.5</v>
      </c>
      <c r="R58" s="310">
        <f t="shared" si="59"/>
        <v>73912.5</v>
      </c>
    </row>
    <row r="59" spans="6:19" s="56" customFormat="1" ht="15.5" x14ac:dyDescent="0.35">
      <c r="F59" s="227"/>
      <c r="H59" s="109" t="s">
        <v>105</v>
      </c>
      <c r="I59" s="307">
        <f>E21</f>
        <v>0</v>
      </c>
      <c r="J59" s="307">
        <f>I59</f>
        <v>0</v>
      </c>
      <c r="K59" s="307">
        <f t="shared" ref="K59:R59" si="60">J59</f>
        <v>0</v>
      </c>
      <c r="L59" s="307">
        <f t="shared" si="60"/>
        <v>0</v>
      </c>
      <c r="M59" s="307">
        <f t="shared" si="60"/>
        <v>0</v>
      </c>
      <c r="N59" s="307">
        <f t="shared" si="60"/>
        <v>0</v>
      </c>
      <c r="O59" s="307">
        <f t="shared" si="60"/>
        <v>0</v>
      </c>
      <c r="P59" s="307">
        <f t="shared" si="60"/>
        <v>0</v>
      </c>
      <c r="Q59" s="307">
        <f t="shared" si="60"/>
        <v>0</v>
      </c>
      <c r="R59" s="308">
        <f t="shared" si="60"/>
        <v>0</v>
      </c>
    </row>
    <row r="60" spans="6:19" s="56" customFormat="1" ht="15.5" x14ac:dyDescent="0.35">
      <c r="F60" s="227"/>
      <c r="H60" s="109" t="s">
        <v>106</v>
      </c>
      <c r="I60" s="287"/>
      <c r="J60" s="287"/>
      <c r="K60" s="287"/>
      <c r="L60" s="287"/>
      <c r="M60" s="287"/>
      <c r="N60" s="287"/>
      <c r="O60" s="287"/>
      <c r="P60" s="287"/>
      <c r="Q60" s="287"/>
      <c r="R60" s="311"/>
    </row>
    <row r="61" spans="6:19" s="56" customFormat="1" ht="15.5" x14ac:dyDescent="0.35">
      <c r="F61" s="227"/>
      <c r="H61" s="115" t="s">
        <v>87</v>
      </c>
      <c r="I61" s="309">
        <f t="shared" ref="I61:R61" si="61">$E17+(I$58*$E11)</f>
        <v>4106.25</v>
      </c>
      <c r="J61" s="309">
        <f t="shared" si="61"/>
        <v>6159.4500000000007</v>
      </c>
      <c r="K61" s="309">
        <f t="shared" si="61"/>
        <v>6588</v>
      </c>
      <c r="L61" s="309">
        <f t="shared" si="61"/>
        <v>6980.7000000000007</v>
      </c>
      <c r="M61" s="309">
        <f t="shared" si="61"/>
        <v>7391.25</v>
      </c>
      <c r="N61" s="309">
        <f t="shared" si="61"/>
        <v>7391.25</v>
      </c>
      <c r="O61" s="309">
        <f t="shared" si="61"/>
        <v>7411.5</v>
      </c>
      <c r="P61" s="309">
        <f t="shared" si="61"/>
        <v>7391.25</v>
      </c>
      <c r="Q61" s="309">
        <f t="shared" si="61"/>
        <v>7391.25</v>
      </c>
      <c r="R61" s="310">
        <f t="shared" si="61"/>
        <v>7391.25</v>
      </c>
      <c r="S61" s="123"/>
    </row>
    <row r="62" spans="6:19" s="56" customFormat="1" ht="15.5" x14ac:dyDescent="0.35">
      <c r="F62" s="227"/>
      <c r="H62" s="115" t="s">
        <v>88</v>
      </c>
      <c r="I62" s="309">
        <f t="shared" ref="I62:R62" si="62">$E18+(I$58*$E12)</f>
        <v>2053.125</v>
      </c>
      <c r="J62" s="309">
        <f t="shared" si="62"/>
        <v>3079.7250000000004</v>
      </c>
      <c r="K62" s="309">
        <f t="shared" si="62"/>
        <v>3294</v>
      </c>
      <c r="L62" s="309">
        <f t="shared" si="62"/>
        <v>3490.3500000000004</v>
      </c>
      <c r="M62" s="309">
        <f t="shared" si="62"/>
        <v>3695.625</v>
      </c>
      <c r="N62" s="309">
        <f t="shared" si="62"/>
        <v>3695.625</v>
      </c>
      <c r="O62" s="309">
        <f t="shared" si="62"/>
        <v>3705.75</v>
      </c>
      <c r="P62" s="309">
        <f t="shared" si="62"/>
        <v>3695.625</v>
      </c>
      <c r="Q62" s="309">
        <f t="shared" si="62"/>
        <v>3695.625</v>
      </c>
      <c r="R62" s="310">
        <f t="shared" si="62"/>
        <v>3695.625</v>
      </c>
    </row>
    <row r="63" spans="6:19" s="56" customFormat="1" ht="15.5" x14ac:dyDescent="0.35">
      <c r="F63" s="227"/>
      <c r="H63" s="115" t="s">
        <v>89</v>
      </c>
      <c r="I63" s="309">
        <f t="shared" ref="I63:R63" si="63">$E19+(I$58*$E13)</f>
        <v>4106.25</v>
      </c>
      <c r="J63" s="309">
        <f t="shared" si="63"/>
        <v>6159.4500000000007</v>
      </c>
      <c r="K63" s="309">
        <f t="shared" si="63"/>
        <v>6588</v>
      </c>
      <c r="L63" s="309">
        <f t="shared" si="63"/>
        <v>6980.7000000000007</v>
      </c>
      <c r="M63" s="309">
        <f t="shared" si="63"/>
        <v>7391.25</v>
      </c>
      <c r="N63" s="309">
        <f t="shared" si="63"/>
        <v>7391.25</v>
      </c>
      <c r="O63" s="309">
        <f t="shared" si="63"/>
        <v>7411.5</v>
      </c>
      <c r="P63" s="309">
        <f t="shared" si="63"/>
        <v>7391.25</v>
      </c>
      <c r="Q63" s="309">
        <f t="shared" si="63"/>
        <v>7391.25</v>
      </c>
      <c r="R63" s="310">
        <f t="shared" si="63"/>
        <v>7391.25</v>
      </c>
    </row>
    <row r="64" spans="6:19" s="56" customFormat="1" ht="15.5" x14ac:dyDescent="0.35">
      <c r="F64" s="227"/>
      <c r="H64" s="115" t="s">
        <v>90</v>
      </c>
      <c r="I64" s="309">
        <f t="shared" ref="I64:R64" si="64">$E20+(I$58*$E14)</f>
        <v>4106.25</v>
      </c>
      <c r="J64" s="309">
        <f t="shared" si="64"/>
        <v>6159.4500000000007</v>
      </c>
      <c r="K64" s="309">
        <f t="shared" si="64"/>
        <v>6588</v>
      </c>
      <c r="L64" s="309">
        <f t="shared" si="64"/>
        <v>6980.7000000000007</v>
      </c>
      <c r="M64" s="309">
        <f t="shared" si="64"/>
        <v>7391.25</v>
      </c>
      <c r="N64" s="309">
        <f t="shared" si="64"/>
        <v>7391.25</v>
      </c>
      <c r="O64" s="309">
        <f t="shared" si="64"/>
        <v>7411.5</v>
      </c>
      <c r="P64" s="309">
        <f t="shared" si="64"/>
        <v>7391.25</v>
      </c>
      <c r="Q64" s="309">
        <f t="shared" si="64"/>
        <v>7391.25</v>
      </c>
      <c r="R64" s="310">
        <f t="shared" si="64"/>
        <v>7391.25</v>
      </c>
    </row>
    <row r="65" spans="2:18" s="56" customFormat="1" ht="15.5" x14ac:dyDescent="0.35">
      <c r="F65" s="227"/>
      <c r="H65" s="223" t="s">
        <v>83</v>
      </c>
      <c r="I65" s="287"/>
      <c r="J65" s="287"/>
      <c r="K65" s="287"/>
      <c r="L65" s="287"/>
      <c r="M65" s="287"/>
      <c r="N65" s="287"/>
      <c r="O65" s="287"/>
      <c r="P65" s="287"/>
      <c r="Q65" s="287"/>
      <c r="R65" s="224"/>
    </row>
    <row r="66" spans="2:18" s="56" customFormat="1" ht="15.5" x14ac:dyDescent="0.35">
      <c r="F66" s="227"/>
      <c r="H66" s="115" t="str">
        <f>H61</f>
        <v>Breakfast</v>
      </c>
      <c r="I66" s="293">
        <f>I61*$E$24*(1+$E$29)^H$55</f>
        <v>102656.25</v>
      </c>
      <c r="J66" s="293">
        <f t="shared" ref="J66:R66" si="65">J61*$E$24*(1+$E$29)^I$55</f>
        <v>158605.83750000002</v>
      </c>
      <c r="K66" s="293">
        <f t="shared" si="65"/>
        <v>174730.22999999998</v>
      </c>
      <c r="L66" s="293">
        <f t="shared" si="65"/>
        <v>190699.98422250003</v>
      </c>
      <c r="M66" s="293">
        <f t="shared" si="65"/>
        <v>207972.92479781248</v>
      </c>
      <c r="N66" s="293">
        <f t="shared" si="65"/>
        <v>214212.11254174684</v>
      </c>
      <c r="O66" s="293">
        <f t="shared" si="65"/>
        <v>221242.96489311708</v>
      </c>
      <c r="P66" s="293">
        <f t="shared" si="65"/>
        <v>227257.63019553927</v>
      </c>
      <c r="Q66" s="293">
        <f t="shared" si="65"/>
        <v>234075.3591014054</v>
      </c>
      <c r="R66" s="224">
        <f t="shared" si="65"/>
        <v>241097.61987444758</v>
      </c>
    </row>
    <row r="67" spans="2:18" s="56" customFormat="1" ht="15.5" x14ac:dyDescent="0.35">
      <c r="F67" s="227"/>
      <c r="H67" s="115" t="str">
        <f t="shared" ref="H67:H69" si="66">H62</f>
        <v>Lunch</v>
      </c>
      <c r="I67" s="293">
        <f>I62*$E$25*(1+$E$29)^H$55</f>
        <v>30796.875</v>
      </c>
      <c r="J67" s="293">
        <f t="shared" ref="J67:R67" si="67">J62*$E$25*(1+$E$29)^I$55</f>
        <v>47581.751250000008</v>
      </c>
      <c r="K67" s="293">
        <f t="shared" si="67"/>
        <v>52419.068999999996</v>
      </c>
      <c r="L67" s="293">
        <f t="shared" si="67"/>
        <v>57209.995266750011</v>
      </c>
      <c r="M67" s="293">
        <f t="shared" si="67"/>
        <v>62391.877439343749</v>
      </c>
      <c r="N67" s="293">
        <f t="shared" si="67"/>
        <v>64263.633762524056</v>
      </c>
      <c r="O67" s="293">
        <f t="shared" si="67"/>
        <v>66372.889467935122</v>
      </c>
      <c r="P67" s="293">
        <f t="shared" si="67"/>
        <v>68177.289058661772</v>
      </c>
      <c r="Q67" s="293">
        <f t="shared" si="67"/>
        <v>70222.607730421616</v>
      </c>
      <c r="R67" s="224">
        <f t="shared" si="67"/>
        <v>72329.285962334267</v>
      </c>
    </row>
    <row r="68" spans="2:18" s="56" customFormat="1" ht="15.5" x14ac:dyDescent="0.35">
      <c r="F68" s="227"/>
      <c r="H68" s="115" t="str">
        <f t="shared" si="66"/>
        <v>Dinner</v>
      </c>
      <c r="I68" s="293">
        <f>I63*$E$26*(1+$E$29)^H$55</f>
        <v>82125</v>
      </c>
      <c r="J68" s="293">
        <f t="shared" ref="J68:R68" si="68">J63*$E$26*(1+$E$29)^I$55</f>
        <v>126884.67000000001</v>
      </c>
      <c r="K68" s="293">
        <f t="shared" si="68"/>
        <v>139784.18400000001</v>
      </c>
      <c r="L68" s="293">
        <f t="shared" si="68"/>
        <v>152559.98737799999</v>
      </c>
      <c r="M68" s="293">
        <f t="shared" si="68"/>
        <v>166378.33983824999</v>
      </c>
      <c r="N68" s="293">
        <f t="shared" si="68"/>
        <v>171369.69003339746</v>
      </c>
      <c r="O68" s="293">
        <f t="shared" si="68"/>
        <v>176994.37191449365</v>
      </c>
      <c r="P68" s="293">
        <f t="shared" si="68"/>
        <v>181806.10415643139</v>
      </c>
      <c r="Q68" s="293">
        <f t="shared" si="68"/>
        <v>187260.28728112433</v>
      </c>
      <c r="R68" s="224">
        <f t="shared" si="68"/>
        <v>192878.09589955807</v>
      </c>
    </row>
    <row r="69" spans="2:18" s="56" customFormat="1" ht="15.5" x14ac:dyDescent="0.35">
      <c r="F69" s="227"/>
      <c r="H69" s="115" t="str">
        <f t="shared" si="66"/>
        <v>Overnight</v>
      </c>
      <c r="I69" s="293">
        <f>I64*$E$27*(1+$E$29)^H$55</f>
        <v>61593.75</v>
      </c>
      <c r="J69" s="293">
        <f t="shared" ref="J69:R69" si="69">J64*$E$27*(1+$E$29)^I$55</f>
        <v>95163.502500000017</v>
      </c>
      <c r="K69" s="293">
        <f t="shared" si="69"/>
        <v>104838.13799999999</v>
      </c>
      <c r="L69" s="293">
        <f t="shared" si="69"/>
        <v>114419.99053350002</v>
      </c>
      <c r="M69" s="293">
        <f t="shared" si="69"/>
        <v>124783.7548786875</v>
      </c>
      <c r="N69" s="293">
        <f t="shared" si="69"/>
        <v>128527.26752504811</v>
      </c>
      <c r="O69" s="293">
        <f t="shared" si="69"/>
        <v>132745.77893587024</v>
      </c>
      <c r="P69" s="293">
        <f t="shared" si="69"/>
        <v>136354.57811732354</v>
      </c>
      <c r="Q69" s="293">
        <f t="shared" si="69"/>
        <v>140445.21546084323</v>
      </c>
      <c r="R69" s="224">
        <f t="shared" si="69"/>
        <v>144658.57192466853</v>
      </c>
    </row>
    <row r="70" spans="2:18" s="56" customFormat="1" ht="15.5" x14ac:dyDescent="0.35">
      <c r="F70" s="227"/>
      <c r="H70" s="111" t="s">
        <v>83</v>
      </c>
      <c r="I70" s="312">
        <f>SUM(I66:I69)</f>
        <v>277171.875</v>
      </c>
      <c r="J70" s="312">
        <f t="shared" ref="J70" si="70">SUM(J66:J69)</f>
        <v>428235.76125000004</v>
      </c>
      <c r="K70" s="312">
        <f t="shared" ref="K70" si="71">SUM(K66:K69)</f>
        <v>471771.62099999998</v>
      </c>
      <c r="L70" s="312">
        <f t="shared" ref="L70" si="72">SUM(L66:L69)</f>
        <v>514889.95740075008</v>
      </c>
      <c r="M70" s="312">
        <f t="shared" ref="M70" si="73">SUM(M66:M69)</f>
        <v>561526.89695409359</v>
      </c>
      <c r="N70" s="312">
        <f t="shared" ref="N70" si="74">SUM(N66:N69)</f>
        <v>578372.70386271644</v>
      </c>
      <c r="O70" s="312">
        <f t="shared" ref="O70" si="75">SUM(O66:O69)</f>
        <v>597356.00521141617</v>
      </c>
      <c r="P70" s="312">
        <f t="shared" ref="P70" si="76">SUM(P66:P69)</f>
        <v>613595.60152795597</v>
      </c>
      <c r="Q70" s="312">
        <f t="shared" ref="Q70" si="77">SUM(Q66:Q69)</f>
        <v>632003.46957379463</v>
      </c>
      <c r="R70" s="313">
        <f t="shared" ref="R70" si="78">SUM(R66:R69)</f>
        <v>650963.57366100838</v>
      </c>
    </row>
    <row r="71" spans="2:18" s="56" customFormat="1" ht="15.5" x14ac:dyDescent="0.35">
      <c r="F71" s="227"/>
      <c r="H71" s="117" t="s">
        <v>107</v>
      </c>
      <c r="I71" s="314"/>
      <c r="J71" s="314"/>
      <c r="K71" s="314"/>
      <c r="L71" s="315"/>
      <c r="M71" s="315"/>
      <c r="N71" s="315"/>
      <c r="O71" s="315"/>
      <c r="P71" s="315"/>
      <c r="Q71" s="315"/>
      <c r="R71" s="316"/>
    </row>
    <row r="72" spans="2:18" s="56" customFormat="1" ht="15.5" x14ac:dyDescent="0.35">
      <c r="F72" s="227"/>
      <c r="H72" s="115" t="s">
        <v>101</v>
      </c>
      <c r="I72" s="293">
        <f t="shared" ref="I72:R72" si="79">I$70*$E40</f>
        <v>110868.75</v>
      </c>
      <c r="J72" s="293">
        <f t="shared" si="79"/>
        <v>171294.30450000003</v>
      </c>
      <c r="K72" s="293">
        <f t="shared" si="79"/>
        <v>188708.64840000001</v>
      </c>
      <c r="L72" s="293">
        <f t="shared" si="79"/>
        <v>205955.98296030005</v>
      </c>
      <c r="M72" s="293">
        <f t="shared" si="79"/>
        <v>224610.75878163744</v>
      </c>
      <c r="N72" s="293">
        <f t="shared" si="79"/>
        <v>231349.08154508658</v>
      </c>
      <c r="O72" s="293">
        <f t="shared" si="79"/>
        <v>238942.40208456648</v>
      </c>
      <c r="P72" s="293">
        <f t="shared" si="79"/>
        <v>245438.24061118241</v>
      </c>
      <c r="Q72" s="293">
        <f t="shared" si="79"/>
        <v>252801.38782951786</v>
      </c>
      <c r="R72" s="224">
        <f t="shared" si="79"/>
        <v>260385.42946440337</v>
      </c>
    </row>
    <row r="73" spans="2:18" s="56" customFormat="1" ht="15.5" x14ac:dyDescent="0.35">
      <c r="F73" s="227"/>
      <c r="H73" s="36" t="s">
        <v>99</v>
      </c>
      <c r="I73" s="293">
        <f t="shared" ref="I73:R73" si="80">I$70*$E41</f>
        <v>0</v>
      </c>
      <c r="J73" s="293">
        <f t="shared" si="80"/>
        <v>0</v>
      </c>
      <c r="K73" s="293">
        <f t="shared" si="80"/>
        <v>0</v>
      </c>
      <c r="L73" s="293">
        <f t="shared" si="80"/>
        <v>0</v>
      </c>
      <c r="M73" s="293">
        <f t="shared" si="80"/>
        <v>0</v>
      </c>
      <c r="N73" s="293">
        <f t="shared" si="80"/>
        <v>0</v>
      </c>
      <c r="O73" s="293">
        <f t="shared" si="80"/>
        <v>0</v>
      </c>
      <c r="P73" s="293">
        <f t="shared" si="80"/>
        <v>0</v>
      </c>
      <c r="Q73" s="293">
        <f t="shared" si="80"/>
        <v>0</v>
      </c>
      <c r="R73" s="224">
        <f t="shared" si="80"/>
        <v>0</v>
      </c>
    </row>
    <row r="74" spans="2:18" s="56" customFormat="1" ht="15.5" x14ac:dyDescent="0.35">
      <c r="F74" s="227"/>
      <c r="H74" s="119" t="s">
        <v>100</v>
      </c>
      <c r="I74" s="293">
        <f t="shared" ref="I74:R74" si="81">I$70*$E42</f>
        <v>83151.5625</v>
      </c>
      <c r="J74" s="293">
        <f t="shared" si="81"/>
        <v>128470.72837500001</v>
      </c>
      <c r="K74" s="293">
        <f t="shared" si="81"/>
        <v>141531.48629999999</v>
      </c>
      <c r="L74" s="293">
        <f t="shared" si="81"/>
        <v>154466.98722022501</v>
      </c>
      <c r="M74" s="293">
        <f t="shared" si="81"/>
        <v>168458.06908622806</v>
      </c>
      <c r="N74" s="293">
        <f t="shared" si="81"/>
        <v>173511.81115881493</v>
      </c>
      <c r="O74" s="293">
        <f t="shared" si="81"/>
        <v>179206.80156342484</v>
      </c>
      <c r="P74" s="293">
        <f t="shared" si="81"/>
        <v>184078.68045838678</v>
      </c>
      <c r="Q74" s="293">
        <f t="shared" si="81"/>
        <v>189601.04087213837</v>
      </c>
      <c r="R74" s="224">
        <f t="shared" si="81"/>
        <v>195289.07209830251</v>
      </c>
    </row>
    <row r="75" spans="2:18" s="56" customFormat="1" ht="15.5" x14ac:dyDescent="0.35">
      <c r="F75" s="227"/>
      <c r="H75" s="119" t="s">
        <v>102</v>
      </c>
      <c r="I75" s="293">
        <f t="shared" ref="I75:R75" si="82">I$70*$E43</f>
        <v>33260.625</v>
      </c>
      <c r="J75" s="293">
        <f t="shared" si="82"/>
        <v>51388.29135</v>
      </c>
      <c r="K75" s="293">
        <f t="shared" si="82"/>
        <v>56612.594519999999</v>
      </c>
      <c r="L75" s="293">
        <f t="shared" si="82"/>
        <v>61786.794888090008</v>
      </c>
      <c r="M75" s="293">
        <f t="shared" si="82"/>
        <v>67383.227634491224</v>
      </c>
      <c r="N75" s="293">
        <f t="shared" si="82"/>
        <v>69404.72446352597</v>
      </c>
      <c r="O75" s="293">
        <f t="shared" si="82"/>
        <v>71682.720625369941</v>
      </c>
      <c r="P75" s="293">
        <f t="shared" si="82"/>
        <v>73631.472183354708</v>
      </c>
      <c r="Q75" s="293">
        <f t="shared" si="82"/>
        <v>75840.416348855346</v>
      </c>
      <c r="R75" s="224">
        <f t="shared" si="82"/>
        <v>78115.628839320998</v>
      </c>
    </row>
    <row r="76" spans="2:18" s="56" customFormat="1" ht="15.5" x14ac:dyDescent="0.35">
      <c r="F76" s="227"/>
      <c r="H76" s="111" t="s">
        <v>108</v>
      </c>
      <c r="I76" s="312">
        <f>SUM(I72:I75)</f>
        <v>227280.9375</v>
      </c>
      <c r="J76" s="312">
        <f t="shared" ref="J76" si="83">SUM(J72:J75)</f>
        <v>351153.32422500005</v>
      </c>
      <c r="K76" s="312">
        <f t="shared" ref="K76" si="84">SUM(K72:K75)</f>
        <v>386852.72921999998</v>
      </c>
      <c r="L76" s="312">
        <f t="shared" ref="L76" si="85">SUM(L72:L75)</f>
        <v>422209.76506861509</v>
      </c>
      <c r="M76" s="312">
        <f t="shared" ref="M76" si="86">SUM(M72:M75)</f>
        <v>460452.05550235673</v>
      </c>
      <c r="N76" s="312">
        <f t="shared" ref="N76" si="87">SUM(N72:N75)</f>
        <v>474265.6171674275</v>
      </c>
      <c r="O76" s="312">
        <f t="shared" ref="O76" si="88">SUM(O72:O75)</f>
        <v>489831.92427336122</v>
      </c>
      <c r="P76" s="312">
        <f t="shared" ref="P76" si="89">SUM(P72:P75)</f>
        <v>503148.39325292391</v>
      </c>
      <c r="Q76" s="312">
        <f t="shared" ref="Q76" si="90">SUM(Q72:Q75)</f>
        <v>518242.84505051159</v>
      </c>
      <c r="R76" s="313">
        <f t="shared" ref="R76" si="91">SUM(R72:R75)</f>
        <v>533790.13040202681</v>
      </c>
    </row>
    <row r="77" spans="2:18" s="56" customFormat="1" ht="15.5" x14ac:dyDescent="0.35">
      <c r="F77" s="227"/>
      <c r="H77" s="111" t="s">
        <v>58</v>
      </c>
      <c r="I77" s="312">
        <f>I70-I76</f>
        <v>49890.9375</v>
      </c>
      <c r="J77" s="312">
        <f t="shared" ref="J77" si="92">J70-J76</f>
        <v>77082.437024999992</v>
      </c>
      <c r="K77" s="312">
        <f t="shared" ref="K77" si="93">K70-K76</f>
        <v>84918.891780000005</v>
      </c>
      <c r="L77" s="312">
        <f t="shared" ref="L77" si="94">L70-L76</f>
        <v>92680.19233213499</v>
      </c>
      <c r="M77" s="312">
        <f t="shared" ref="M77" si="95">M70-M76</f>
        <v>101074.84145173687</v>
      </c>
      <c r="N77" s="312">
        <f t="shared" ref="N77" si="96">N70-N76</f>
        <v>104107.08669528895</v>
      </c>
      <c r="O77" s="312">
        <f t="shared" ref="O77" si="97">O70-O76</f>
        <v>107524.08093805495</v>
      </c>
      <c r="P77" s="312">
        <f t="shared" ref="P77" si="98">P70-P76</f>
        <v>110447.20827503206</v>
      </c>
      <c r="Q77" s="312">
        <f t="shared" ref="Q77" si="99">Q70-Q76</f>
        <v>113760.62452328304</v>
      </c>
      <c r="R77" s="313">
        <f t="shared" ref="R77" si="100">R70-R76</f>
        <v>117173.44325898157</v>
      </c>
    </row>
    <row r="78" spans="2:18" s="56" customFormat="1" ht="15.5" x14ac:dyDescent="0.35">
      <c r="F78" s="227"/>
    </row>
    <row r="79" spans="2:18" s="56" customFormat="1" ht="16" thickBot="1" x14ac:dyDescent="0.4">
      <c r="F79" s="227"/>
      <c r="H79" s="101" t="str">
        <f>F6&amp;" P&amp;L"</f>
        <v>Banquet Catering P&amp;L</v>
      </c>
    </row>
    <row r="80" spans="2:18" s="56" customFormat="1" ht="15.5" x14ac:dyDescent="0.35">
      <c r="B80" s="56" t="s">
        <v>214</v>
      </c>
      <c r="F80" s="227"/>
      <c r="H80" s="145"/>
      <c r="I80" s="125">
        <v>1</v>
      </c>
      <c r="J80" s="125">
        <v>2</v>
      </c>
      <c r="K80" s="125">
        <v>3</v>
      </c>
      <c r="L80" s="125">
        <v>4</v>
      </c>
      <c r="M80" s="125">
        <v>5</v>
      </c>
      <c r="N80" s="125">
        <v>6</v>
      </c>
      <c r="O80" s="125">
        <v>7</v>
      </c>
      <c r="P80" s="125">
        <v>8</v>
      </c>
      <c r="Q80" s="125">
        <v>9</v>
      </c>
      <c r="R80" s="126">
        <v>10</v>
      </c>
    </row>
    <row r="81" spans="6:18" s="56" customFormat="1" ht="16" thickBot="1" x14ac:dyDescent="0.4">
      <c r="F81" s="227"/>
      <c r="H81" s="146"/>
      <c r="I81" s="147">
        <f>'Operating Cash Flow'!C6</f>
        <v>46234</v>
      </c>
      <c r="J81" s="147">
        <f>'Operating Cash Flow'!D6</f>
        <v>46599</v>
      </c>
      <c r="K81" s="147">
        <f>'Operating Cash Flow'!E6</f>
        <v>46965</v>
      </c>
      <c r="L81" s="147">
        <f>'Operating Cash Flow'!F6</f>
        <v>47330</v>
      </c>
      <c r="M81" s="147">
        <f>'Operating Cash Flow'!G6</f>
        <v>47695</v>
      </c>
      <c r="N81" s="147">
        <f>'Operating Cash Flow'!H6</f>
        <v>48060</v>
      </c>
      <c r="O81" s="147">
        <f>'Operating Cash Flow'!I6</f>
        <v>48426</v>
      </c>
      <c r="P81" s="147">
        <f>'Operating Cash Flow'!J6</f>
        <v>48791</v>
      </c>
      <c r="Q81" s="147">
        <f>'Operating Cash Flow'!K6</f>
        <v>49156</v>
      </c>
      <c r="R81" s="148">
        <f>'Operating Cash Flow'!L6</f>
        <v>49521</v>
      </c>
    </row>
    <row r="82" spans="6:18" s="56" customFormat="1" ht="15.5" x14ac:dyDescent="0.35">
      <c r="F82" s="227"/>
      <c r="H82" s="109" t="s">
        <v>66</v>
      </c>
      <c r="I82" s="307">
        <f>I7</f>
        <v>27375</v>
      </c>
      <c r="J82" s="307">
        <f t="shared" ref="J82:R82" si="101">J7</f>
        <v>41063</v>
      </c>
      <c r="K82" s="307">
        <f t="shared" si="101"/>
        <v>43920</v>
      </c>
      <c r="L82" s="307">
        <f t="shared" si="101"/>
        <v>46538</v>
      </c>
      <c r="M82" s="307">
        <f t="shared" si="101"/>
        <v>49275</v>
      </c>
      <c r="N82" s="307">
        <f t="shared" si="101"/>
        <v>49275</v>
      </c>
      <c r="O82" s="307">
        <f t="shared" si="101"/>
        <v>49410</v>
      </c>
      <c r="P82" s="307">
        <f t="shared" si="101"/>
        <v>49275</v>
      </c>
      <c r="Q82" s="307">
        <f t="shared" si="101"/>
        <v>49275</v>
      </c>
      <c r="R82" s="308">
        <f t="shared" si="101"/>
        <v>49275</v>
      </c>
    </row>
    <row r="83" spans="6:18" s="56" customFormat="1" ht="15.5" x14ac:dyDescent="0.35">
      <c r="F83" s="227"/>
      <c r="H83" s="109" t="s">
        <v>104</v>
      </c>
      <c r="I83" s="309">
        <f>I8</f>
        <v>41062.5</v>
      </c>
      <c r="J83" s="309">
        <f t="shared" ref="J83:R83" si="102">J8</f>
        <v>61594.5</v>
      </c>
      <c r="K83" s="309">
        <f t="shared" si="102"/>
        <v>65880</v>
      </c>
      <c r="L83" s="309">
        <f t="shared" si="102"/>
        <v>69807</v>
      </c>
      <c r="M83" s="309">
        <f t="shared" si="102"/>
        <v>73912.5</v>
      </c>
      <c r="N83" s="309">
        <f t="shared" si="102"/>
        <v>73912.5</v>
      </c>
      <c r="O83" s="309">
        <f t="shared" si="102"/>
        <v>74115</v>
      </c>
      <c r="P83" s="309">
        <f t="shared" si="102"/>
        <v>73912.5</v>
      </c>
      <c r="Q83" s="309">
        <f t="shared" si="102"/>
        <v>73912.5</v>
      </c>
      <c r="R83" s="310">
        <f t="shared" si="102"/>
        <v>73912.5</v>
      </c>
    </row>
    <row r="84" spans="6:18" ht="15.5" x14ac:dyDescent="0.35">
      <c r="H84" s="109" t="s">
        <v>105</v>
      </c>
      <c r="I84" s="307">
        <f>F21</f>
        <v>480</v>
      </c>
      <c r="J84" s="307">
        <f>I84</f>
        <v>480</v>
      </c>
      <c r="K84" s="307">
        <f t="shared" ref="K84:R84" si="103">J84</f>
        <v>480</v>
      </c>
      <c r="L84" s="307">
        <f t="shared" si="103"/>
        <v>480</v>
      </c>
      <c r="M84" s="307">
        <f t="shared" si="103"/>
        <v>480</v>
      </c>
      <c r="N84" s="307">
        <f t="shared" si="103"/>
        <v>480</v>
      </c>
      <c r="O84" s="307">
        <f t="shared" si="103"/>
        <v>480</v>
      </c>
      <c r="P84" s="307">
        <f t="shared" si="103"/>
        <v>480</v>
      </c>
      <c r="Q84" s="307">
        <f t="shared" si="103"/>
        <v>480</v>
      </c>
      <c r="R84" s="308">
        <f t="shared" si="103"/>
        <v>480</v>
      </c>
    </row>
    <row r="85" spans="6:18" ht="15.5" x14ac:dyDescent="0.35">
      <c r="H85" s="109" t="s">
        <v>106</v>
      </c>
      <c r="I85" s="287"/>
      <c r="J85" s="287"/>
      <c r="K85" s="287"/>
      <c r="L85" s="287"/>
      <c r="M85" s="287"/>
      <c r="N85" s="287"/>
      <c r="O85" s="287"/>
      <c r="P85" s="287"/>
      <c r="Q85" s="287"/>
      <c r="R85" s="311"/>
    </row>
    <row r="86" spans="6:18" ht="15.5" x14ac:dyDescent="0.35">
      <c r="H86" s="115" t="s">
        <v>87</v>
      </c>
      <c r="I86" s="309">
        <f t="shared" ref="I86:R86" si="104">$F17+($F11*I$83)</f>
        <v>160</v>
      </c>
      <c r="J86" s="309">
        <f t="shared" si="104"/>
        <v>160</v>
      </c>
      <c r="K86" s="309">
        <f t="shared" si="104"/>
        <v>160</v>
      </c>
      <c r="L86" s="309">
        <f t="shared" si="104"/>
        <v>160</v>
      </c>
      <c r="M86" s="309">
        <f t="shared" si="104"/>
        <v>160</v>
      </c>
      <c r="N86" s="309">
        <f t="shared" si="104"/>
        <v>160</v>
      </c>
      <c r="O86" s="309">
        <f t="shared" si="104"/>
        <v>160</v>
      </c>
      <c r="P86" s="309">
        <f t="shared" si="104"/>
        <v>160</v>
      </c>
      <c r="Q86" s="309">
        <f t="shared" si="104"/>
        <v>160</v>
      </c>
      <c r="R86" s="310">
        <f t="shared" si="104"/>
        <v>160</v>
      </c>
    </row>
    <row r="87" spans="6:18" ht="15.5" x14ac:dyDescent="0.35">
      <c r="H87" s="115" t="s">
        <v>88</v>
      </c>
      <c r="I87" s="309">
        <f t="shared" ref="I87:R87" si="105">$F18+($F12*I$83)</f>
        <v>160</v>
      </c>
      <c r="J87" s="309">
        <f t="shared" si="105"/>
        <v>160</v>
      </c>
      <c r="K87" s="309">
        <f t="shared" si="105"/>
        <v>160</v>
      </c>
      <c r="L87" s="309">
        <f t="shared" si="105"/>
        <v>160</v>
      </c>
      <c r="M87" s="309">
        <f t="shared" si="105"/>
        <v>160</v>
      </c>
      <c r="N87" s="309">
        <f t="shared" si="105"/>
        <v>160</v>
      </c>
      <c r="O87" s="309">
        <f t="shared" si="105"/>
        <v>160</v>
      </c>
      <c r="P87" s="309">
        <f t="shared" si="105"/>
        <v>160</v>
      </c>
      <c r="Q87" s="309">
        <f t="shared" si="105"/>
        <v>160</v>
      </c>
      <c r="R87" s="310">
        <f t="shared" si="105"/>
        <v>160</v>
      </c>
    </row>
    <row r="88" spans="6:18" ht="15.5" x14ac:dyDescent="0.35">
      <c r="H88" s="115" t="s">
        <v>89</v>
      </c>
      <c r="I88" s="309">
        <f t="shared" ref="I88:R88" si="106">$F19+($F13*I$83)</f>
        <v>160</v>
      </c>
      <c r="J88" s="309">
        <f t="shared" si="106"/>
        <v>160</v>
      </c>
      <c r="K88" s="309">
        <f t="shared" si="106"/>
        <v>160</v>
      </c>
      <c r="L88" s="309">
        <f t="shared" si="106"/>
        <v>160</v>
      </c>
      <c r="M88" s="309">
        <f t="shared" si="106"/>
        <v>160</v>
      </c>
      <c r="N88" s="309">
        <f t="shared" si="106"/>
        <v>160</v>
      </c>
      <c r="O88" s="309">
        <f t="shared" si="106"/>
        <v>160</v>
      </c>
      <c r="P88" s="309">
        <f t="shared" si="106"/>
        <v>160</v>
      </c>
      <c r="Q88" s="309">
        <f t="shared" si="106"/>
        <v>160</v>
      </c>
      <c r="R88" s="310">
        <f t="shared" si="106"/>
        <v>160</v>
      </c>
    </row>
    <row r="89" spans="6:18" ht="15.5" x14ac:dyDescent="0.35">
      <c r="H89" s="115" t="s">
        <v>90</v>
      </c>
      <c r="I89" s="309">
        <f t="shared" ref="I89:R89" si="107">$F20+($F14*I$83)</f>
        <v>0</v>
      </c>
      <c r="J89" s="309">
        <f t="shared" si="107"/>
        <v>0</v>
      </c>
      <c r="K89" s="309">
        <f t="shared" si="107"/>
        <v>0</v>
      </c>
      <c r="L89" s="309">
        <f t="shared" si="107"/>
        <v>0</v>
      </c>
      <c r="M89" s="309">
        <f t="shared" si="107"/>
        <v>0</v>
      </c>
      <c r="N89" s="309">
        <f t="shared" si="107"/>
        <v>0</v>
      </c>
      <c r="O89" s="309">
        <f t="shared" si="107"/>
        <v>0</v>
      </c>
      <c r="P89" s="309">
        <f t="shared" si="107"/>
        <v>0</v>
      </c>
      <c r="Q89" s="309">
        <f t="shared" si="107"/>
        <v>0</v>
      </c>
      <c r="R89" s="310">
        <f t="shared" si="107"/>
        <v>0</v>
      </c>
    </row>
    <row r="90" spans="6:18" ht="15.5" x14ac:dyDescent="0.35">
      <c r="H90" s="223" t="s">
        <v>83</v>
      </c>
      <c r="I90" s="287"/>
      <c r="J90" s="287"/>
      <c r="K90" s="287"/>
      <c r="L90" s="287"/>
      <c r="M90" s="287"/>
      <c r="N90" s="287"/>
      <c r="O90" s="287"/>
      <c r="P90" s="287"/>
      <c r="Q90" s="287"/>
      <c r="R90" s="224"/>
    </row>
    <row r="91" spans="6:18" ht="15.5" x14ac:dyDescent="0.35">
      <c r="H91" s="115" t="str">
        <f>H86</f>
        <v>Breakfast</v>
      </c>
      <c r="I91" s="293">
        <f>I86*$F$24*(1+$F$29)^H$80</f>
        <v>8000</v>
      </c>
      <c r="J91" s="293">
        <f t="shared" ref="J91:R91" si="108">J86*$F$24*(1+$F$29)^I$80</f>
        <v>8240</v>
      </c>
      <c r="K91" s="293">
        <f t="shared" si="108"/>
        <v>8487.1999999999989</v>
      </c>
      <c r="L91" s="293">
        <f t="shared" si="108"/>
        <v>8741.8160000000007</v>
      </c>
      <c r="M91" s="293">
        <f t="shared" si="108"/>
        <v>9004.0704799999985</v>
      </c>
      <c r="N91" s="293">
        <f t="shared" si="108"/>
        <v>9274.1925943999995</v>
      </c>
      <c r="O91" s="293">
        <f t="shared" si="108"/>
        <v>9552.4183722319995</v>
      </c>
      <c r="P91" s="293">
        <f t="shared" si="108"/>
        <v>9838.9909233989601</v>
      </c>
      <c r="Q91" s="293">
        <f t="shared" si="108"/>
        <v>10134.160651100927</v>
      </c>
      <c r="R91" s="224">
        <f t="shared" si="108"/>
        <v>10438.185470633956</v>
      </c>
    </row>
    <row r="92" spans="6:18" ht="15.5" x14ac:dyDescent="0.35">
      <c r="H92" s="115" t="str">
        <f t="shared" ref="H92:H94" si="109">H87</f>
        <v>Lunch</v>
      </c>
      <c r="I92" s="293">
        <f>I87*$F$25*(1+$F$29)^H$80</f>
        <v>8000</v>
      </c>
      <c r="J92" s="293">
        <f t="shared" ref="J92:R92" si="110">J87*$F$25*(1+$F$29)^I$80</f>
        <v>8240</v>
      </c>
      <c r="K92" s="293">
        <f t="shared" si="110"/>
        <v>8487.1999999999989</v>
      </c>
      <c r="L92" s="293">
        <f t="shared" si="110"/>
        <v>8741.8160000000007</v>
      </c>
      <c r="M92" s="293">
        <f t="shared" si="110"/>
        <v>9004.0704799999985</v>
      </c>
      <c r="N92" s="293">
        <f t="shared" si="110"/>
        <v>9274.1925943999995</v>
      </c>
      <c r="O92" s="293">
        <f t="shared" si="110"/>
        <v>9552.4183722319995</v>
      </c>
      <c r="P92" s="293">
        <f t="shared" si="110"/>
        <v>9838.9909233989601</v>
      </c>
      <c r="Q92" s="293">
        <f t="shared" si="110"/>
        <v>10134.160651100927</v>
      </c>
      <c r="R92" s="224">
        <f t="shared" si="110"/>
        <v>10438.185470633956</v>
      </c>
    </row>
    <row r="93" spans="6:18" ht="15.5" x14ac:dyDescent="0.35">
      <c r="H93" s="115" t="str">
        <f t="shared" si="109"/>
        <v>Dinner</v>
      </c>
      <c r="I93" s="293">
        <f>I88*$F$26*(1+$F$29)^H$80</f>
        <v>9600</v>
      </c>
      <c r="J93" s="293">
        <f t="shared" ref="J93:R93" si="111">J88*$F$26*(1+$F$29)^I$80</f>
        <v>9888</v>
      </c>
      <c r="K93" s="293">
        <f t="shared" si="111"/>
        <v>10184.64</v>
      </c>
      <c r="L93" s="293">
        <f t="shared" si="111"/>
        <v>10490.1792</v>
      </c>
      <c r="M93" s="293">
        <f t="shared" si="111"/>
        <v>10804.884575999999</v>
      </c>
      <c r="N93" s="293">
        <f t="shared" si="111"/>
        <v>11129.031113279998</v>
      </c>
      <c r="O93" s="293">
        <f t="shared" si="111"/>
        <v>11462.902046678399</v>
      </c>
      <c r="P93" s="293">
        <f t="shared" si="111"/>
        <v>11806.789108078752</v>
      </c>
      <c r="Q93" s="293">
        <f t="shared" si="111"/>
        <v>12160.992781321112</v>
      </c>
      <c r="R93" s="224">
        <f t="shared" si="111"/>
        <v>12525.822564760747</v>
      </c>
    </row>
    <row r="94" spans="6:18" ht="15.5" x14ac:dyDescent="0.35">
      <c r="H94" s="115" t="str">
        <f t="shared" si="109"/>
        <v>Overnight</v>
      </c>
      <c r="I94" s="293">
        <f>I89*$F$27*(1+$F$29)^H$80</f>
        <v>0</v>
      </c>
      <c r="J94" s="293">
        <f t="shared" ref="J94:R94" si="112">J89*$F$27*(1+$F$29)^I$80</f>
        <v>0</v>
      </c>
      <c r="K94" s="293">
        <f t="shared" si="112"/>
        <v>0</v>
      </c>
      <c r="L94" s="293">
        <f t="shared" si="112"/>
        <v>0</v>
      </c>
      <c r="M94" s="293">
        <f t="shared" si="112"/>
        <v>0</v>
      </c>
      <c r="N94" s="293">
        <f t="shared" si="112"/>
        <v>0</v>
      </c>
      <c r="O94" s="293">
        <f t="shared" si="112"/>
        <v>0</v>
      </c>
      <c r="P94" s="293">
        <f t="shared" si="112"/>
        <v>0</v>
      </c>
      <c r="Q94" s="293">
        <f t="shared" si="112"/>
        <v>0</v>
      </c>
      <c r="R94" s="224">
        <f t="shared" si="112"/>
        <v>0</v>
      </c>
    </row>
    <row r="95" spans="6:18" ht="15" x14ac:dyDescent="0.3">
      <c r="H95" s="111" t="s">
        <v>83</v>
      </c>
      <c r="I95" s="312">
        <f>SUM(I91:I94)</f>
        <v>25600</v>
      </c>
      <c r="J95" s="312">
        <f t="shared" ref="J95" si="113">SUM(J91:J94)</f>
        <v>26368</v>
      </c>
      <c r="K95" s="312">
        <f t="shared" ref="K95" si="114">SUM(K91:K94)</f>
        <v>27159.039999999997</v>
      </c>
      <c r="L95" s="312">
        <f t="shared" ref="L95" si="115">SUM(L91:L94)</f>
        <v>27973.811200000004</v>
      </c>
      <c r="M95" s="312">
        <f t="shared" ref="M95" si="116">SUM(M91:M94)</f>
        <v>28813.025535999994</v>
      </c>
      <c r="N95" s="312">
        <f t="shared" ref="N95" si="117">SUM(N91:N94)</f>
        <v>29677.416302079997</v>
      </c>
      <c r="O95" s="312">
        <f t="shared" ref="O95" si="118">SUM(O91:O94)</f>
        <v>30567.738791142398</v>
      </c>
      <c r="P95" s="312">
        <f t="shared" ref="P95" si="119">SUM(P91:P94)</f>
        <v>31484.770954876672</v>
      </c>
      <c r="Q95" s="312">
        <f t="shared" ref="Q95" si="120">SUM(Q91:Q94)</f>
        <v>32429.314083522964</v>
      </c>
      <c r="R95" s="313">
        <f t="shared" ref="R95" si="121">SUM(R91:R94)</f>
        <v>33402.193506028663</v>
      </c>
    </row>
    <row r="96" spans="6:18" ht="15.5" x14ac:dyDescent="0.35">
      <c r="H96" s="117" t="s">
        <v>107</v>
      </c>
      <c r="I96" s="314"/>
      <c r="J96" s="314"/>
      <c r="K96" s="314"/>
      <c r="L96" s="315"/>
      <c r="M96" s="315"/>
      <c r="N96" s="315"/>
      <c r="O96" s="315"/>
      <c r="P96" s="315"/>
      <c r="Q96" s="315"/>
      <c r="R96" s="316"/>
    </row>
    <row r="97" spans="8:18" ht="15.5" x14ac:dyDescent="0.35">
      <c r="H97" s="115" t="s">
        <v>101</v>
      </c>
      <c r="I97" s="293">
        <f t="shared" ref="I97:R97" si="122">I$95*$F40</f>
        <v>7680</v>
      </c>
      <c r="J97" s="293">
        <f t="shared" si="122"/>
        <v>7910.4</v>
      </c>
      <c r="K97" s="293">
        <f t="shared" si="122"/>
        <v>8147.7119999999986</v>
      </c>
      <c r="L97" s="293">
        <f t="shared" si="122"/>
        <v>8392.14336</v>
      </c>
      <c r="M97" s="293">
        <f t="shared" si="122"/>
        <v>8643.9076607999978</v>
      </c>
      <c r="N97" s="293">
        <f t="shared" si="122"/>
        <v>8903.2248906239984</v>
      </c>
      <c r="O97" s="293">
        <f t="shared" si="122"/>
        <v>9170.3216373427185</v>
      </c>
      <c r="P97" s="293">
        <f t="shared" si="122"/>
        <v>9445.431286463001</v>
      </c>
      <c r="Q97" s="293">
        <f t="shared" si="122"/>
        <v>9728.7942250568885</v>
      </c>
      <c r="R97" s="224">
        <f t="shared" si="122"/>
        <v>10020.658051808599</v>
      </c>
    </row>
    <row r="98" spans="8:18" ht="15.5" x14ac:dyDescent="0.35">
      <c r="H98" s="36" t="s">
        <v>99</v>
      </c>
      <c r="I98" s="293">
        <f t="shared" ref="I98:R98" si="123">I$95*$F41</f>
        <v>0</v>
      </c>
      <c r="J98" s="293">
        <f t="shared" si="123"/>
        <v>0</v>
      </c>
      <c r="K98" s="293">
        <f t="shared" si="123"/>
        <v>0</v>
      </c>
      <c r="L98" s="293">
        <f t="shared" si="123"/>
        <v>0</v>
      </c>
      <c r="M98" s="293">
        <f t="shared" si="123"/>
        <v>0</v>
      </c>
      <c r="N98" s="293">
        <f t="shared" si="123"/>
        <v>0</v>
      </c>
      <c r="O98" s="293">
        <f t="shared" si="123"/>
        <v>0</v>
      </c>
      <c r="P98" s="293">
        <f t="shared" si="123"/>
        <v>0</v>
      </c>
      <c r="Q98" s="293">
        <f t="shared" si="123"/>
        <v>0</v>
      </c>
      <c r="R98" s="224">
        <f t="shared" si="123"/>
        <v>0</v>
      </c>
    </row>
    <row r="99" spans="8:18" ht="15.5" x14ac:dyDescent="0.35">
      <c r="H99" s="119" t="s">
        <v>100</v>
      </c>
      <c r="I99" s="293">
        <f t="shared" ref="I99:R99" si="124">I$95*$F42</f>
        <v>7680</v>
      </c>
      <c r="J99" s="293">
        <f t="shared" si="124"/>
        <v>7910.4</v>
      </c>
      <c r="K99" s="293">
        <f t="shared" si="124"/>
        <v>8147.7119999999986</v>
      </c>
      <c r="L99" s="293">
        <f t="shared" si="124"/>
        <v>8392.14336</v>
      </c>
      <c r="M99" s="293">
        <f t="shared" si="124"/>
        <v>8643.9076607999978</v>
      </c>
      <c r="N99" s="293">
        <f t="shared" si="124"/>
        <v>8903.2248906239984</v>
      </c>
      <c r="O99" s="293">
        <f t="shared" si="124"/>
        <v>9170.3216373427185</v>
      </c>
      <c r="P99" s="293">
        <f t="shared" si="124"/>
        <v>9445.431286463001</v>
      </c>
      <c r="Q99" s="293">
        <f t="shared" si="124"/>
        <v>9728.7942250568885</v>
      </c>
      <c r="R99" s="224">
        <f t="shared" si="124"/>
        <v>10020.658051808599</v>
      </c>
    </row>
    <row r="100" spans="8:18" ht="15.5" x14ac:dyDescent="0.35">
      <c r="H100" s="119" t="s">
        <v>102</v>
      </c>
      <c r="I100" s="293">
        <f t="shared" ref="I100:R100" si="125">I$95*$F43</f>
        <v>3072</v>
      </c>
      <c r="J100" s="293">
        <f t="shared" si="125"/>
        <v>3164.16</v>
      </c>
      <c r="K100" s="293">
        <f t="shared" si="125"/>
        <v>3259.0847999999996</v>
      </c>
      <c r="L100" s="293">
        <f t="shared" si="125"/>
        <v>3356.8573440000005</v>
      </c>
      <c r="M100" s="293">
        <f t="shared" si="125"/>
        <v>3457.5630643199993</v>
      </c>
      <c r="N100" s="293">
        <f t="shared" si="125"/>
        <v>3561.2899562495995</v>
      </c>
      <c r="O100" s="293">
        <f t="shared" si="125"/>
        <v>3668.1286549370875</v>
      </c>
      <c r="P100" s="293">
        <f t="shared" si="125"/>
        <v>3778.1725145852006</v>
      </c>
      <c r="Q100" s="293">
        <f t="shared" si="125"/>
        <v>3891.5176900227557</v>
      </c>
      <c r="R100" s="224">
        <f t="shared" si="125"/>
        <v>4008.2632207234396</v>
      </c>
    </row>
    <row r="101" spans="8:18" ht="15" x14ac:dyDescent="0.3">
      <c r="H101" s="111" t="s">
        <v>108</v>
      </c>
      <c r="I101" s="312">
        <f>SUM(I97:I100)</f>
        <v>18432</v>
      </c>
      <c r="J101" s="312">
        <f t="shared" ref="J101" si="126">SUM(J97:J100)</f>
        <v>18984.96</v>
      </c>
      <c r="K101" s="312">
        <f t="shared" ref="K101" si="127">SUM(K97:K100)</f>
        <v>19554.508799999996</v>
      </c>
      <c r="L101" s="312">
        <f t="shared" ref="L101" si="128">SUM(L97:L100)</f>
        <v>20141.144064</v>
      </c>
      <c r="M101" s="312">
        <f t="shared" ref="M101" si="129">SUM(M97:M100)</f>
        <v>20745.378385919994</v>
      </c>
      <c r="N101" s="312">
        <f t="shared" ref="N101" si="130">SUM(N97:N100)</f>
        <v>21367.739737497595</v>
      </c>
      <c r="O101" s="312">
        <f t="shared" ref="O101" si="131">SUM(O97:O100)</f>
        <v>22008.771929622526</v>
      </c>
      <c r="P101" s="312">
        <f t="shared" ref="P101" si="132">SUM(P97:P100)</f>
        <v>22669.035087511202</v>
      </c>
      <c r="Q101" s="312">
        <f t="shared" ref="Q101" si="133">SUM(Q97:Q100)</f>
        <v>23349.106140136533</v>
      </c>
      <c r="R101" s="313">
        <f t="shared" ref="R101" si="134">SUM(R97:R100)</f>
        <v>24049.579324340637</v>
      </c>
    </row>
    <row r="102" spans="8:18" ht="15" x14ac:dyDescent="0.3">
      <c r="H102" s="111" t="s">
        <v>58</v>
      </c>
      <c r="I102" s="312">
        <f>I95-I101</f>
        <v>7168</v>
      </c>
      <c r="J102" s="312">
        <f t="shared" ref="J102" si="135">J95-J101</f>
        <v>7383.0400000000009</v>
      </c>
      <c r="K102" s="312">
        <f t="shared" ref="K102" si="136">K95-K101</f>
        <v>7604.5312000000013</v>
      </c>
      <c r="L102" s="312">
        <f t="shared" ref="L102" si="137">L95-L101</f>
        <v>7832.6671360000037</v>
      </c>
      <c r="M102" s="312">
        <f t="shared" ref="M102" si="138">M95-M101</f>
        <v>8067.6471500799998</v>
      </c>
      <c r="N102" s="312">
        <f t="shared" ref="N102" si="139">N95-N101</f>
        <v>8309.6765645824016</v>
      </c>
      <c r="O102" s="312">
        <f t="shared" ref="O102" si="140">O95-O101</f>
        <v>8558.9668615198716</v>
      </c>
      <c r="P102" s="312">
        <f t="shared" ref="P102" si="141">P95-P101</f>
        <v>8815.7358673654708</v>
      </c>
      <c r="Q102" s="312">
        <f t="shared" ref="Q102" si="142">Q95-Q101</f>
        <v>9080.207943386431</v>
      </c>
      <c r="R102" s="313">
        <f t="shared" ref="R102" si="143">R95-R101</f>
        <v>9352.6141816880263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3417-3C3E-4AF5-993A-5FDB0BF5083C}">
  <sheetPr>
    <tabColor theme="0"/>
  </sheetPr>
  <dimension ref="B1:Q24"/>
  <sheetViews>
    <sheetView showGridLines="0" workbookViewId="0">
      <selection activeCell="S61" sqref="S61"/>
    </sheetView>
  </sheetViews>
  <sheetFormatPr defaultRowHeight="14" x14ac:dyDescent="0.3"/>
  <cols>
    <col min="1" max="1" width="1.7265625" style="3" customWidth="1"/>
    <col min="2" max="2" width="38.453125" style="3" bestFit="1" customWidth="1"/>
    <col min="3" max="3" width="13.90625" style="3" bestFit="1" customWidth="1"/>
    <col min="4" max="4" width="19.36328125" style="3" bestFit="1" customWidth="1"/>
    <col min="5" max="5" width="1.7265625" style="3" customWidth="1"/>
    <col min="6" max="15" width="10.453125" style="3" bestFit="1" customWidth="1"/>
    <col min="16" max="16384" width="8.7265625" style="3"/>
  </cols>
  <sheetData>
    <row r="1" spans="2:17" ht="42.5" x14ac:dyDescent="1.1000000000000001">
      <c r="B1" s="31" t="s">
        <v>203</v>
      </c>
    </row>
    <row r="2" spans="2:17" s="56" customFormat="1" ht="15.5" x14ac:dyDescent="0.35">
      <c r="B2" s="55" t="str">
        <f>Summary!B3</f>
        <v>XpertHotel 113  Park Lane London, W1K 7AJ</v>
      </c>
    </row>
    <row r="3" spans="2:17" s="56" customFormat="1" ht="15.5" x14ac:dyDescent="0.35"/>
    <row r="4" spans="2:17" s="56" customFormat="1" ht="15.5" x14ac:dyDescent="0.35">
      <c r="B4" s="100" t="s">
        <v>115</v>
      </c>
    </row>
    <row r="5" spans="2:17" s="56" customFormat="1" ht="16" thickBot="1" x14ac:dyDescent="0.4">
      <c r="F5" s="101" t="s">
        <v>114</v>
      </c>
    </row>
    <row r="6" spans="2:17" s="56" customFormat="1" ht="16" thickBot="1" x14ac:dyDescent="0.4">
      <c r="B6" s="163" t="s">
        <v>112</v>
      </c>
      <c r="C6" s="163" t="s">
        <v>113</v>
      </c>
      <c r="D6" s="163" t="s">
        <v>93</v>
      </c>
      <c r="F6" s="164">
        <f>'Operating Cash Flow'!C6</f>
        <v>46234</v>
      </c>
      <c r="G6" s="165">
        <f>'Operating Cash Flow'!D6</f>
        <v>46599</v>
      </c>
      <c r="H6" s="165">
        <f>'Operating Cash Flow'!E6</f>
        <v>46965</v>
      </c>
      <c r="I6" s="165">
        <f>'Operating Cash Flow'!F6</f>
        <v>47330</v>
      </c>
      <c r="J6" s="165">
        <f>'Operating Cash Flow'!G6</f>
        <v>47695</v>
      </c>
      <c r="K6" s="165">
        <f>'Operating Cash Flow'!H6</f>
        <v>48060</v>
      </c>
      <c r="L6" s="165">
        <f>'Operating Cash Flow'!I6</f>
        <v>48426</v>
      </c>
      <c r="M6" s="165">
        <f>'Operating Cash Flow'!J6</f>
        <v>48791</v>
      </c>
      <c r="N6" s="165">
        <f>'Operating Cash Flow'!K6</f>
        <v>49156</v>
      </c>
      <c r="O6" s="166">
        <f>'Operating Cash Flow'!L6</f>
        <v>49521</v>
      </c>
      <c r="P6" s="167"/>
      <c r="Q6" s="167"/>
    </row>
    <row r="7" spans="2:17" s="56" customFormat="1" ht="15.5" x14ac:dyDescent="0.35">
      <c r="B7" s="168" t="s">
        <v>118</v>
      </c>
      <c r="C7" s="177">
        <v>200000</v>
      </c>
      <c r="D7" s="176">
        <v>0.02</v>
      </c>
      <c r="F7" s="317">
        <f>C7</f>
        <v>200000</v>
      </c>
      <c r="G7" s="318">
        <f>F7*(1+$D7)</f>
        <v>204000</v>
      </c>
      <c r="H7" s="318">
        <f t="shared" ref="H7:O7" si="0">G7*(1+$D7)</f>
        <v>208080</v>
      </c>
      <c r="I7" s="318">
        <f t="shared" si="0"/>
        <v>212241.6</v>
      </c>
      <c r="J7" s="318">
        <f t="shared" si="0"/>
        <v>216486.432</v>
      </c>
      <c r="K7" s="318">
        <f t="shared" si="0"/>
        <v>220816.16064000002</v>
      </c>
      <c r="L7" s="318">
        <f t="shared" si="0"/>
        <v>225232.48385280001</v>
      </c>
      <c r="M7" s="318">
        <f t="shared" si="0"/>
        <v>229737.13352985602</v>
      </c>
      <c r="N7" s="318">
        <f t="shared" si="0"/>
        <v>234331.87620045315</v>
      </c>
      <c r="O7" s="319">
        <f t="shared" si="0"/>
        <v>239018.51372446222</v>
      </c>
    </row>
    <row r="8" spans="2:17" s="56" customFormat="1" ht="15.5" x14ac:dyDescent="0.35">
      <c r="B8" s="168" t="s">
        <v>81</v>
      </c>
      <c r="C8" s="177">
        <v>100000</v>
      </c>
      <c r="D8" s="176">
        <v>0.03</v>
      </c>
      <c r="F8" s="317">
        <f t="shared" ref="F8:F10" si="1">C8</f>
        <v>100000</v>
      </c>
      <c r="G8" s="318">
        <f t="shared" ref="G8:O10" si="2">F8*(1+$D8)</f>
        <v>103000</v>
      </c>
      <c r="H8" s="318">
        <f t="shared" si="2"/>
        <v>106090</v>
      </c>
      <c r="I8" s="318">
        <f t="shared" si="2"/>
        <v>109272.7</v>
      </c>
      <c r="J8" s="318">
        <f t="shared" si="2"/>
        <v>112550.88099999999</v>
      </c>
      <c r="K8" s="318">
        <f t="shared" si="2"/>
        <v>115927.40742999999</v>
      </c>
      <c r="L8" s="318">
        <f t="shared" si="2"/>
        <v>119405.2296529</v>
      </c>
      <c r="M8" s="318">
        <f t="shared" si="2"/>
        <v>122987.386542487</v>
      </c>
      <c r="N8" s="318">
        <f t="shared" si="2"/>
        <v>126677.00813876161</v>
      </c>
      <c r="O8" s="319">
        <f t="shared" si="2"/>
        <v>130477.31838292447</v>
      </c>
    </row>
    <row r="9" spans="2:17" s="56" customFormat="1" ht="15.5" x14ac:dyDescent="0.35">
      <c r="B9" s="168" t="s">
        <v>82</v>
      </c>
      <c r="C9" s="177">
        <v>90000</v>
      </c>
      <c r="D9" s="176">
        <v>0.03</v>
      </c>
      <c r="F9" s="317">
        <f t="shared" si="1"/>
        <v>90000</v>
      </c>
      <c r="G9" s="318">
        <f t="shared" si="2"/>
        <v>92700</v>
      </c>
      <c r="H9" s="318">
        <f t="shared" si="2"/>
        <v>95481</v>
      </c>
      <c r="I9" s="318">
        <f t="shared" si="2"/>
        <v>98345.430000000008</v>
      </c>
      <c r="J9" s="318">
        <f t="shared" si="2"/>
        <v>101295.79290000001</v>
      </c>
      <c r="K9" s="318">
        <f t="shared" si="2"/>
        <v>104334.66668700002</v>
      </c>
      <c r="L9" s="318">
        <f t="shared" si="2"/>
        <v>107464.70668761003</v>
      </c>
      <c r="M9" s="318">
        <f t="shared" si="2"/>
        <v>110688.64788823834</v>
      </c>
      <c r="N9" s="318">
        <f t="shared" si="2"/>
        <v>114009.30732488549</v>
      </c>
      <c r="O9" s="319">
        <f t="shared" si="2"/>
        <v>117429.58654463205</v>
      </c>
    </row>
    <row r="10" spans="2:17" s="56" customFormat="1" ht="16" thickBot="1" x14ac:dyDescent="0.4">
      <c r="B10" s="169" t="s">
        <v>78</v>
      </c>
      <c r="C10" s="178">
        <v>2500</v>
      </c>
      <c r="D10" s="179">
        <v>0.01</v>
      </c>
      <c r="F10" s="317">
        <f t="shared" si="1"/>
        <v>2500</v>
      </c>
      <c r="G10" s="318">
        <f t="shared" si="2"/>
        <v>2525</v>
      </c>
      <c r="H10" s="318">
        <f t="shared" si="2"/>
        <v>2550.25</v>
      </c>
      <c r="I10" s="318">
        <f t="shared" si="2"/>
        <v>2575.7525000000001</v>
      </c>
      <c r="J10" s="318">
        <f t="shared" si="2"/>
        <v>2601.510025</v>
      </c>
      <c r="K10" s="318">
        <f t="shared" si="2"/>
        <v>2627.5251252500002</v>
      </c>
      <c r="L10" s="318">
        <f t="shared" si="2"/>
        <v>2653.8003765025001</v>
      </c>
      <c r="M10" s="318">
        <f t="shared" si="2"/>
        <v>2680.3383802675253</v>
      </c>
      <c r="N10" s="318">
        <f t="shared" si="2"/>
        <v>2707.1417640702007</v>
      </c>
      <c r="O10" s="319">
        <f t="shared" si="2"/>
        <v>2734.2131817109025</v>
      </c>
    </row>
    <row r="11" spans="2:17" s="56" customFormat="1" ht="16" thickBot="1" x14ac:dyDescent="0.4">
      <c r="B11" s="105"/>
      <c r="C11" s="170" t="s">
        <v>48</v>
      </c>
      <c r="D11" s="171"/>
      <c r="F11" s="320">
        <f>SUM(F7:F10)</f>
        <v>392500</v>
      </c>
      <c r="G11" s="321">
        <f t="shared" ref="G11:O11" si="3">SUM(G7:G10)</f>
        <v>402225</v>
      </c>
      <c r="H11" s="321">
        <f t="shared" si="3"/>
        <v>412201.25</v>
      </c>
      <c r="I11" s="321">
        <f t="shared" si="3"/>
        <v>422435.48249999998</v>
      </c>
      <c r="J11" s="321">
        <f t="shared" si="3"/>
        <v>432934.61592499999</v>
      </c>
      <c r="K11" s="321">
        <f t="shared" si="3"/>
        <v>443705.75988225004</v>
      </c>
      <c r="L11" s="321">
        <f t="shared" si="3"/>
        <v>454756.22056981252</v>
      </c>
      <c r="M11" s="321">
        <f t="shared" si="3"/>
        <v>466093.50634084892</v>
      </c>
      <c r="N11" s="321">
        <f t="shared" si="3"/>
        <v>477725.33342817047</v>
      </c>
      <c r="O11" s="322">
        <f t="shared" si="3"/>
        <v>489659.63183372963</v>
      </c>
    </row>
    <row r="12" spans="2:17" s="56" customFormat="1" ht="15.5" x14ac:dyDescent="0.35"/>
    <row r="13" spans="2:17" s="56" customFormat="1" ht="15.5" x14ac:dyDescent="0.35">
      <c r="B13" s="100" t="s">
        <v>116</v>
      </c>
    </row>
    <row r="14" spans="2:17" s="56" customFormat="1" ht="16" thickBot="1" x14ac:dyDescent="0.4">
      <c r="F14" s="101" t="s">
        <v>107</v>
      </c>
    </row>
    <row r="15" spans="2:17" s="56" customFormat="1" ht="15.5" x14ac:dyDescent="0.35">
      <c r="B15" s="175" t="s">
        <v>112</v>
      </c>
      <c r="C15" s="100" t="s">
        <v>117</v>
      </c>
      <c r="F15" s="172">
        <f>'Operating Cash Flow'!C6</f>
        <v>46234</v>
      </c>
      <c r="G15" s="173">
        <f>'Operating Cash Flow'!D6</f>
        <v>46599</v>
      </c>
      <c r="H15" s="173">
        <f>'Operating Cash Flow'!E6</f>
        <v>46965</v>
      </c>
      <c r="I15" s="173">
        <f>'Operating Cash Flow'!F6</f>
        <v>47330</v>
      </c>
      <c r="J15" s="173">
        <f>'Operating Cash Flow'!G6</f>
        <v>47695</v>
      </c>
      <c r="K15" s="173">
        <f>'Operating Cash Flow'!H6</f>
        <v>48060</v>
      </c>
      <c r="L15" s="173">
        <f>'Operating Cash Flow'!I6</f>
        <v>48426</v>
      </c>
      <c r="M15" s="173">
        <f>'Operating Cash Flow'!J6</f>
        <v>48791</v>
      </c>
      <c r="N15" s="173">
        <f>'Operating Cash Flow'!K6</f>
        <v>49156</v>
      </c>
      <c r="O15" s="174">
        <f>'Operating Cash Flow'!L6</f>
        <v>49521</v>
      </c>
    </row>
    <row r="16" spans="2:17" s="56" customFormat="1" ht="15.5" x14ac:dyDescent="0.35">
      <c r="B16" s="168" t="s">
        <v>80</v>
      </c>
      <c r="C16" s="176">
        <v>0.1</v>
      </c>
      <c r="F16" s="323">
        <f t="shared" ref="F16:O16" si="4">F7*$C16</f>
        <v>20000</v>
      </c>
      <c r="G16" s="324">
        <f t="shared" si="4"/>
        <v>20400</v>
      </c>
      <c r="H16" s="324">
        <f t="shared" si="4"/>
        <v>20808</v>
      </c>
      <c r="I16" s="324">
        <f t="shared" si="4"/>
        <v>21224.160000000003</v>
      </c>
      <c r="J16" s="324">
        <f t="shared" si="4"/>
        <v>21648.643200000002</v>
      </c>
      <c r="K16" s="324">
        <f t="shared" si="4"/>
        <v>22081.616064000002</v>
      </c>
      <c r="L16" s="324">
        <f t="shared" si="4"/>
        <v>22523.248385280003</v>
      </c>
      <c r="M16" s="324">
        <f t="shared" si="4"/>
        <v>22973.713352985604</v>
      </c>
      <c r="N16" s="324">
        <f t="shared" si="4"/>
        <v>23433.187620045315</v>
      </c>
      <c r="O16" s="325">
        <f t="shared" si="4"/>
        <v>23901.851372446225</v>
      </c>
    </row>
    <row r="17" spans="2:15" s="56" customFormat="1" ht="15.5" x14ac:dyDescent="0.35">
      <c r="B17" s="168" t="s">
        <v>81</v>
      </c>
      <c r="C17" s="176">
        <v>0.3</v>
      </c>
      <c r="F17" s="317">
        <f t="shared" ref="F17:O17" si="5">F8*$C17</f>
        <v>30000</v>
      </c>
      <c r="G17" s="318">
        <f t="shared" si="5"/>
        <v>30900</v>
      </c>
      <c r="H17" s="318">
        <f t="shared" si="5"/>
        <v>31827</v>
      </c>
      <c r="I17" s="318">
        <f t="shared" si="5"/>
        <v>32781.81</v>
      </c>
      <c r="J17" s="318">
        <f t="shared" si="5"/>
        <v>33765.264299999995</v>
      </c>
      <c r="K17" s="318">
        <f t="shared" si="5"/>
        <v>34778.222228999999</v>
      </c>
      <c r="L17" s="318">
        <f t="shared" si="5"/>
        <v>35821.568895869998</v>
      </c>
      <c r="M17" s="318">
        <f t="shared" si="5"/>
        <v>36896.215962746101</v>
      </c>
      <c r="N17" s="318">
        <f t="shared" si="5"/>
        <v>38003.102441628478</v>
      </c>
      <c r="O17" s="319">
        <f t="shared" si="5"/>
        <v>39143.195514877341</v>
      </c>
    </row>
    <row r="18" spans="2:15" s="56" customFormat="1" ht="15.5" x14ac:dyDescent="0.35">
      <c r="B18" s="168" t="s">
        <v>82</v>
      </c>
      <c r="C18" s="176">
        <v>0.6</v>
      </c>
      <c r="F18" s="317">
        <f t="shared" ref="F18:O18" si="6">F9*$C18</f>
        <v>54000</v>
      </c>
      <c r="G18" s="318">
        <f t="shared" si="6"/>
        <v>55620</v>
      </c>
      <c r="H18" s="318">
        <f t="shared" si="6"/>
        <v>57288.6</v>
      </c>
      <c r="I18" s="318">
        <f t="shared" si="6"/>
        <v>59007.258000000002</v>
      </c>
      <c r="J18" s="318">
        <f t="shared" si="6"/>
        <v>60777.475740000009</v>
      </c>
      <c r="K18" s="318">
        <f t="shared" si="6"/>
        <v>62600.800012200008</v>
      </c>
      <c r="L18" s="318">
        <f t="shared" si="6"/>
        <v>64478.824012566016</v>
      </c>
      <c r="M18" s="318">
        <f t="shared" si="6"/>
        <v>66413.188732943003</v>
      </c>
      <c r="N18" s="318">
        <f t="shared" si="6"/>
        <v>68405.584394931298</v>
      </c>
      <c r="O18" s="319">
        <f t="shared" si="6"/>
        <v>70457.751926779223</v>
      </c>
    </row>
    <row r="19" spans="2:15" s="56" customFormat="1" ht="15.5" x14ac:dyDescent="0.35">
      <c r="B19" s="168" t="s">
        <v>78</v>
      </c>
      <c r="C19" s="176">
        <v>0.02</v>
      </c>
      <c r="F19" s="317">
        <f t="shared" ref="F19:O19" si="7">F10*$C19</f>
        <v>50</v>
      </c>
      <c r="G19" s="318">
        <f t="shared" si="7"/>
        <v>50.5</v>
      </c>
      <c r="H19" s="318">
        <f t="shared" si="7"/>
        <v>51.005000000000003</v>
      </c>
      <c r="I19" s="318">
        <f t="shared" si="7"/>
        <v>51.515050000000002</v>
      </c>
      <c r="J19" s="318">
        <f t="shared" si="7"/>
        <v>52.030200499999999</v>
      </c>
      <c r="K19" s="318">
        <f t="shared" si="7"/>
        <v>52.550502505000004</v>
      </c>
      <c r="L19" s="318">
        <f t="shared" si="7"/>
        <v>53.076007530049999</v>
      </c>
      <c r="M19" s="318">
        <f t="shared" si="7"/>
        <v>53.606767605350505</v>
      </c>
      <c r="N19" s="318">
        <f t="shared" si="7"/>
        <v>54.142835281404018</v>
      </c>
      <c r="O19" s="319">
        <f t="shared" si="7"/>
        <v>54.684263634218048</v>
      </c>
    </row>
    <row r="20" spans="2:15" s="56" customFormat="1" ht="15.5" x14ac:dyDescent="0.35">
      <c r="F20" s="320">
        <f>SUM(F16:F19)</f>
        <v>104050</v>
      </c>
      <c r="G20" s="321">
        <f t="shared" ref="G20" si="8">SUM(G16:G19)</f>
        <v>106970.5</v>
      </c>
      <c r="H20" s="321">
        <f t="shared" ref="H20" si="9">SUM(H16:H19)</f>
        <v>109974.60500000001</v>
      </c>
      <c r="I20" s="321">
        <f t="shared" ref="I20" si="10">SUM(I16:I19)</f>
        <v>113064.74305</v>
      </c>
      <c r="J20" s="321">
        <f t="shared" ref="J20" si="11">SUM(J16:J19)</f>
        <v>116243.41344050001</v>
      </c>
      <c r="K20" s="321">
        <f t="shared" ref="K20" si="12">SUM(K16:K19)</f>
        <v>119513.188807705</v>
      </c>
      <c r="L20" s="321">
        <f t="shared" ref="L20" si="13">SUM(L16:L19)</f>
        <v>122876.71730124606</v>
      </c>
      <c r="M20" s="321">
        <f t="shared" ref="M20" si="14">SUM(M16:M19)</f>
        <v>126336.72481628005</v>
      </c>
      <c r="N20" s="321">
        <f t="shared" ref="N20" si="15">SUM(N16:N19)</f>
        <v>129896.0172918865</v>
      </c>
      <c r="O20" s="322">
        <f t="shared" ref="O20" si="16">SUM(O16:O19)</f>
        <v>133557.48307773698</v>
      </c>
    </row>
    <row r="21" spans="2:15" s="56" customFormat="1" ht="15.5" x14ac:dyDescent="0.35"/>
    <row r="22" spans="2:15" s="56" customFormat="1" ht="15.5" x14ac:dyDescent="0.35"/>
    <row r="23" spans="2:15" s="56" customFormat="1" ht="15.5" x14ac:dyDescent="0.35"/>
    <row r="24" spans="2:15" s="56" customFormat="1" ht="15.5" x14ac:dyDescent="0.3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DED52-E3B4-424C-A048-BAAA25F5258E}">
  <sheetPr>
    <tabColor theme="0"/>
  </sheetPr>
  <dimension ref="B1:P47"/>
  <sheetViews>
    <sheetView showGridLines="0" topLeftCell="A19" workbookViewId="0">
      <selection activeCell="H76" sqref="H76"/>
    </sheetView>
  </sheetViews>
  <sheetFormatPr defaultRowHeight="14" x14ac:dyDescent="0.3"/>
  <cols>
    <col min="1" max="1" width="1.7265625" style="3" customWidth="1"/>
    <col min="2" max="2" width="29.54296875" style="3" bestFit="1" customWidth="1"/>
    <col min="3" max="3" width="28" style="3" bestFit="1" customWidth="1"/>
    <col min="4" max="4" width="23.26953125" style="3" bestFit="1" customWidth="1"/>
    <col min="5" max="5" width="1.7265625" style="3" customWidth="1"/>
    <col min="6" max="6" width="14.1796875" style="3" bestFit="1" customWidth="1"/>
    <col min="7" max="7" width="12.26953125" style="3" bestFit="1" customWidth="1"/>
    <col min="8" max="15" width="14.1796875" style="3" bestFit="1" customWidth="1"/>
    <col min="16" max="16384" width="8.7265625" style="3"/>
  </cols>
  <sheetData>
    <row r="1" spans="2:16" ht="42.5" x14ac:dyDescent="1.1000000000000001">
      <c r="B1" s="31" t="s">
        <v>203</v>
      </c>
    </row>
    <row r="2" spans="2:16" x14ac:dyDescent="0.3">
      <c r="B2" s="2" t="str">
        <f>Summary!B3</f>
        <v>XpertHotel 113  Park Lane London, W1K 7AJ</v>
      </c>
    </row>
    <row r="4" spans="2:16" x14ac:dyDescent="0.3">
      <c r="B4" s="99" t="s">
        <v>98</v>
      </c>
    </row>
    <row r="5" spans="2:16" ht="14.5" thickBot="1" x14ac:dyDescent="0.35"/>
    <row r="6" spans="2:16" x14ac:dyDescent="0.3">
      <c r="B6" s="494" t="s">
        <v>124</v>
      </c>
      <c r="C6" s="495" t="s">
        <v>125</v>
      </c>
      <c r="D6" s="496" t="s">
        <v>93</v>
      </c>
      <c r="F6" s="157">
        <f>'Cash Flow Projection - Advanced'!D6</f>
        <v>46234</v>
      </c>
      <c r="G6" s="158">
        <f>'Cash Flow Projection - Advanced'!E6</f>
        <v>46599</v>
      </c>
      <c r="H6" s="158">
        <f>'Cash Flow Projection - Advanced'!F6</f>
        <v>46965</v>
      </c>
      <c r="I6" s="158">
        <f>'Cash Flow Projection - Advanced'!G6</f>
        <v>47330</v>
      </c>
      <c r="J6" s="158">
        <f>'Cash Flow Projection - Advanced'!H6</f>
        <v>47695</v>
      </c>
      <c r="K6" s="158">
        <f>'Cash Flow Projection - Advanced'!I6</f>
        <v>48060</v>
      </c>
      <c r="L6" s="158">
        <f>'Cash Flow Projection - Advanced'!J6</f>
        <v>48426</v>
      </c>
      <c r="M6" s="158">
        <f>'Cash Flow Projection - Advanced'!K6</f>
        <v>48791</v>
      </c>
      <c r="N6" s="158">
        <f>'Cash Flow Projection - Advanced'!L6</f>
        <v>49156</v>
      </c>
      <c r="O6" s="159">
        <f>'Cash Flow Projection - Advanced'!M6</f>
        <v>49521</v>
      </c>
    </row>
    <row r="7" spans="2:16" x14ac:dyDescent="0.3">
      <c r="B7" s="497" t="s">
        <v>148</v>
      </c>
      <c r="C7" s="189">
        <v>12000</v>
      </c>
      <c r="D7" s="498">
        <v>0.01</v>
      </c>
      <c r="F7" s="505">
        <f>C7</f>
        <v>12000</v>
      </c>
      <c r="G7" s="506">
        <f>F7*(1+$D$7)</f>
        <v>12120</v>
      </c>
      <c r="H7" s="506">
        <f t="shared" ref="H7:O7" si="0">G7*(1+$D$7)</f>
        <v>12241.2</v>
      </c>
      <c r="I7" s="506">
        <f t="shared" si="0"/>
        <v>12363.612000000001</v>
      </c>
      <c r="J7" s="506">
        <f t="shared" si="0"/>
        <v>12487.248120000002</v>
      </c>
      <c r="K7" s="506">
        <f t="shared" si="0"/>
        <v>12612.120601200002</v>
      </c>
      <c r="L7" s="506">
        <f t="shared" si="0"/>
        <v>12738.241807212002</v>
      </c>
      <c r="M7" s="506">
        <f t="shared" si="0"/>
        <v>12865.624225284122</v>
      </c>
      <c r="N7" s="506">
        <f t="shared" si="0"/>
        <v>12994.280467536963</v>
      </c>
      <c r="O7" s="507">
        <f t="shared" si="0"/>
        <v>13124.223272212332</v>
      </c>
    </row>
    <row r="8" spans="2:16" x14ac:dyDescent="0.3">
      <c r="B8" s="499" t="s">
        <v>99</v>
      </c>
      <c r="C8" s="190">
        <v>0.03</v>
      </c>
      <c r="D8" s="500" t="s">
        <v>130</v>
      </c>
      <c r="F8" s="508">
        <f>$C$8*'Operating Cash Flow'!C29</f>
        <v>127025.4375</v>
      </c>
      <c r="G8" s="509">
        <f>$C$8*'Operating Cash Flow'!D29</f>
        <v>189289.63819499998</v>
      </c>
      <c r="H8" s="509">
        <f>$C$8*'Operating Cash Flow'!E29</f>
        <v>207487.25351400004</v>
      </c>
      <c r="I8" s="509">
        <f>$C$8*'Operating Cash Flow'!F29</f>
        <v>225519.94124998801</v>
      </c>
      <c r="J8" s="509">
        <f>$C$8*'Operating Cash Flow'!G29</f>
        <v>245007.61375867389</v>
      </c>
      <c r="K8" s="509">
        <f>$C$8*'Operating Cash Flow'!H29</f>
        <v>252291.33533581908</v>
      </c>
      <c r="L8" s="509">
        <f>$C$8*'Operating Cash Flow'!I29</f>
        <v>260461.30243028695</v>
      </c>
      <c r="M8" s="509">
        <f>$C$8*'Operating Cash Flow'!J29</f>
        <v>267516.85962822364</v>
      </c>
      <c r="N8" s="509">
        <f>$C$8*'Operating Cash Flow'!K29</f>
        <v>275471.83607398317</v>
      </c>
      <c r="O8" s="510">
        <f>$C$8*'Operating Cash Flow'!L29</f>
        <v>283664.06730828411</v>
      </c>
    </row>
    <row r="9" spans="2:16" x14ac:dyDescent="0.3">
      <c r="B9" s="499" t="s">
        <v>126</v>
      </c>
      <c r="C9" s="190">
        <v>0.05</v>
      </c>
      <c r="D9" s="500" t="s">
        <v>130</v>
      </c>
      <c r="F9" s="508">
        <f>$C$9*'Operating Cash Flow'!C29</f>
        <v>211709.0625</v>
      </c>
      <c r="G9" s="509">
        <f>$C$9*'Operating Cash Flow'!D29</f>
        <v>315482.73032500001</v>
      </c>
      <c r="H9" s="509">
        <f>$C$9*'Operating Cash Flow'!E29</f>
        <v>345812.08919000009</v>
      </c>
      <c r="I9" s="509">
        <f>$C$9*'Operating Cash Flow'!F29</f>
        <v>375866.56874998007</v>
      </c>
      <c r="J9" s="509">
        <f>$C$9*'Operating Cash Flow'!G29</f>
        <v>408346.02293112315</v>
      </c>
      <c r="K9" s="509">
        <f>$C$9*'Operating Cash Flow'!H29</f>
        <v>420485.55889303185</v>
      </c>
      <c r="L9" s="509">
        <f>$C$9*'Operating Cash Flow'!I29</f>
        <v>434102.17071714497</v>
      </c>
      <c r="M9" s="509">
        <f>$C$9*'Operating Cash Flow'!J29</f>
        <v>445861.43271370605</v>
      </c>
      <c r="N9" s="509">
        <f>$C$9*'Operating Cash Flow'!K29</f>
        <v>459119.72678997205</v>
      </c>
      <c r="O9" s="510">
        <f>$C$9*'Operating Cash Flow'!L29</f>
        <v>472773.44551380689</v>
      </c>
    </row>
    <row r="10" spans="2:16" x14ac:dyDescent="0.3">
      <c r="B10" s="499" t="s">
        <v>127</v>
      </c>
      <c r="C10" s="98">
        <v>1000</v>
      </c>
      <c r="D10" s="501">
        <v>0.02</v>
      </c>
      <c r="F10" s="511">
        <f>C10</f>
        <v>1000</v>
      </c>
      <c r="G10" s="512">
        <f>($D10+1)*F10</f>
        <v>1020</v>
      </c>
      <c r="H10" s="512">
        <f t="shared" ref="H10:O10" si="1">($D10+1)*G10</f>
        <v>1040.4000000000001</v>
      </c>
      <c r="I10" s="512">
        <f t="shared" si="1"/>
        <v>1061.2080000000001</v>
      </c>
      <c r="J10" s="512">
        <f t="shared" si="1"/>
        <v>1082.4321600000001</v>
      </c>
      <c r="K10" s="512">
        <f t="shared" si="1"/>
        <v>1104.0808032</v>
      </c>
      <c r="L10" s="512">
        <f t="shared" si="1"/>
        <v>1126.1624192639999</v>
      </c>
      <c r="M10" s="512">
        <f t="shared" si="1"/>
        <v>1148.68566764928</v>
      </c>
      <c r="N10" s="512">
        <f t="shared" si="1"/>
        <v>1171.6593810022657</v>
      </c>
      <c r="O10" s="513">
        <f t="shared" si="1"/>
        <v>1195.0925686223111</v>
      </c>
    </row>
    <row r="11" spans="2:16" x14ac:dyDescent="0.3">
      <c r="B11" s="499" t="s">
        <v>128</v>
      </c>
      <c r="C11" s="98">
        <v>24000</v>
      </c>
      <c r="D11" s="501">
        <v>0.02</v>
      </c>
      <c r="F11" s="511">
        <f>C11</f>
        <v>24000</v>
      </c>
      <c r="G11" s="512">
        <f>($D11+1)*F11</f>
        <v>24480</v>
      </c>
      <c r="H11" s="512">
        <f t="shared" ref="H11:O11" si="2">($D11+1)*G11</f>
        <v>24969.600000000002</v>
      </c>
      <c r="I11" s="512">
        <f t="shared" si="2"/>
        <v>25468.992000000002</v>
      </c>
      <c r="J11" s="512">
        <f t="shared" si="2"/>
        <v>25978.371840000003</v>
      </c>
      <c r="K11" s="512">
        <f t="shared" si="2"/>
        <v>26497.939276800003</v>
      </c>
      <c r="L11" s="512">
        <f t="shared" si="2"/>
        <v>27027.898062336004</v>
      </c>
      <c r="M11" s="512">
        <f t="shared" si="2"/>
        <v>27568.456023582723</v>
      </c>
      <c r="N11" s="512">
        <f t="shared" si="2"/>
        <v>28119.825144054379</v>
      </c>
      <c r="O11" s="513">
        <f t="shared" si="2"/>
        <v>28682.221646935468</v>
      </c>
    </row>
    <row r="12" spans="2:16" ht="14.5" thickBot="1" x14ac:dyDescent="0.35">
      <c r="B12" s="502" t="s">
        <v>129</v>
      </c>
      <c r="C12" s="503">
        <v>50000</v>
      </c>
      <c r="D12" s="504">
        <v>0.03</v>
      </c>
      <c r="F12" s="514">
        <f>C12</f>
        <v>50000</v>
      </c>
      <c r="G12" s="515">
        <f>(1+$D$12)*F12</f>
        <v>51500</v>
      </c>
      <c r="H12" s="515">
        <f t="shared" ref="H12:O12" si="3">(1+$D$12)*G12</f>
        <v>53045</v>
      </c>
      <c r="I12" s="515">
        <f t="shared" si="3"/>
        <v>54636.35</v>
      </c>
      <c r="J12" s="515">
        <f t="shared" si="3"/>
        <v>56275.440499999997</v>
      </c>
      <c r="K12" s="515">
        <f t="shared" si="3"/>
        <v>57963.703714999996</v>
      </c>
      <c r="L12" s="515">
        <f t="shared" si="3"/>
        <v>59702.614826450001</v>
      </c>
      <c r="M12" s="515">
        <f t="shared" si="3"/>
        <v>61493.693271243501</v>
      </c>
      <c r="N12" s="515">
        <f t="shared" si="3"/>
        <v>63338.504069380804</v>
      </c>
      <c r="O12" s="516">
        <f t="shared" si="3"/>
        <v>65238.659191462233</v>
      </c>
      <c r="P12" s="6"/>
    </row>
    <row r="13" spans="2:16" ht="15" x14ac:dyDescent="0.3">
      <c r="F13" s="517">
        <f>SUM(F7:F12)</f>
        <v>425734.5</v>
      </c>
      <c r="G13" s="518">
        <f t="shared" ref="G13:O13" si="4">SUM(G7:G12)</f>
        <v>593892.36852000002</v>
      </c>
      <c r="H13" s="518">
        <f t="shared" si="4"/>
        <v>644595.54270400014</v>
      </c>
      <c r="I13" s="518">
        <f t="shared" si="4"/>
        <v>694916.67199996801</v>
      </c>
      <c r="J13" s="518">
        <f t="shared" si="4"/>
        <v>749177.12930979708</v>
      </c>
      <c r="K13" s="518">
        <f t="shared" si="4"/>
        <v>770954.73862505099</v>
      </c>
      <c r="L13" s="518">
        <f t="shared" si="4"/>
        <v>795158.39026269398</v>
      </c>
      <c r="M13" s="518">
        <f t="shared" si="4"/>
        <v>816454.7515296893</v>
      </c>
      <c r="N13" s="518">
        <f t="shared" si="4"/>
        <v>840215.83192592964</v>
      </c>
      <c r="O13" s="519">
        <f t="shared" si="4"/>
        <v>864677.70950132329</v>
      </c>
    </row>
    <row r="15" spans="2:16" x14ac:dyDescent="0.3">
      <c r="B15" s="99" t="s">
        <v>131</v>
      </c>
    </row>
    <row r="16" spans="2:16" ht="14.5" thickBot="1" x14ac:dyDescent="0.35"/>
    <row r="17" spans="2:15" ht="14.5" thickBot="1" x14ac:dyDescent="0.35">
      <c r="B17" s="180" t="s">
        <v>131</v>
      </c>
      <c r="C17" s="182" t="s">
        <v>133</v>
      </c>
      <c r="D17" s="181" t="s">
        <v>8</v>
      </c>
      <c r="F17" s="160">
        <f>'Cash Flow Projection - Advanced'!D6</f>
        <v>46234</v>
      </c>
      <c r="G17" s="161">
        <f>'Cash Flow Projection - Advanced'!E6</f>
        <v>46599</v>
      </c>
      <c r="H17" s="161">
        <f>'Cash Flow Projection - Advanced'!F6</f>
        <v>46965</v>
      </c>
      <c r="I17" s="161">
        <f>'Cash Flow Projection - Advanced'!G6</f>
        <v>47330</v>
      </c>
      <c r="J17" s="161">
        <f>'Cash Flow Projection - Advanced'!H6</f>
        <v>47695</v>
      </c>
      <c r="K17" s="161">
        <f>'Cash Flow Projection - Advanced'!I6</f>
        <v>48060</v>
      </c>
      <c r="L17" s="161">
        <f>'Cash Flow Projection - Advanced'!J6</f>
        <v>48426</v>
      </c>
      <c r="M17" s="161">
        <f>'Cash Flow Projection - Advanced'!K6</f>
        <v>48791</v>
      </c>
      <c r="N17" s="161">
        <f>'Cash Flow Projection - Advanced'!L6</f>
        <v>49156</v>
      </c>
      <c r="O17" s="162">
        <f>'Cash Flow Projection - Advanced'!M6</f>
        <v>49521</v>
      </c>
    </row>
    <row r="18" spans="2:15" x14ac:dyDescent="0.3">
      <c r="B18" s="5" t="s">
        <v>132</v>
      </c>
      <c r="C18" s="191">
        <v>0</v>
      </c>
      <c r="D18" s="222">
        <f>YEAR(F17)</f>
        <v>2026</v>
      </c>
      <c r="F18" s="508">
        <f>IF(YEAR(F17)=$D$18,$C$18,0)</f>
        <v>0</v>
      </c>
      <c r="G18" s="509">
        <f t="shared" ref="G18:O18" si="5">IF(YEAR(G17)=$D$18,$C$18,0)</f>
        <v>0</v>
      </c>
      <c r="H18" s="509">
        <f t="shared" si="5"/>
        <v>0</v>
      </c>
      <c r="I18" s="509">
        <f t="shared" si="5"/>
        <v>0</v>
      </c>
      <c r="J18" s="509">
        <f t="shared" si="5"/>
        <v>0</v>
      </c>
      <c r="K18" s="509">
        <f t="shared" si="5"/>
        <v>0</v>
      </c>
      <c r="L18" s="509">
        <f t="shared" si="5"/>
        <v>0</v>
      </c>
      <c r="M18" s="509">
        <f t="shared" si="5"/>
        <v>0</v>
      </c>
      <c r="N18" s="509">
        <f t="shared" si="5"/>
        <v>0</v>
      </c>
      <c r="O18" s="510">
        <f t="shared" si="5"/>
        <v>0</v>
      </c>
    </row>
    <row r="19" spans="2:15" x14ac:dyDescent="0.3">
      <c r="B19" s="5" t="s">
        <v>134</v>
      </c>
      <c r="C19" s="190">
        <v>0.05</v>
      </c>
      <c r="D19" s="192" t="s">
        <v>137</v>
      </c>
      <c r="F19" s="508">
        <f>$C19*'Operating Cash Flow'!C$18</f>
        <v>130031.25</v>
      </c>
      <c r="G19" s="509">
        <f>$C19*'Operating Cash Flow'!D$18</f>
        <v>200898.28125</v>
      </c>
      <c r="H19" s="509">
        <f>$C19*'Operating Cash Flow'!E$18</f>
        <v>221324.95800000007</v>
      </c>
      <c r="I19" s="509">
        <f>$C19*'Operating Cash Flow'!F$18</f>
        <v>241550.71812187505</v>
      </c>
      <c r="J19" s="509">
        <f>$C19*'Operating Cash Flow'!G$18</f>
        <v>263432.3714105626</v>
      </c>
      <c r="K19" s="509">
        <f>$C19*'Operating Cash Flow'!H$18</f>
        <v>271335.34255287948</v>
      </c>
      <c r="L19" s="509">
        <f>$C19*'Operating Cash Flow'!I$18</f>
        <v>280241.08886461513</v>
      </c>
      <c r="M19" s="509">
        <f>$C19*'Operating Cash Flow'!J$18</f>
        <v>287859.66491434979</v>
      </c>
      <c r="N19" s="509">
        <f>$C19*'Operating Cash Flow'!K$18</f>
        <v>296495.45486178034</v>
      </c>
      <c r="O19" s="510">
        <f>$C19*'Operating Cash Flow'!L$18</f>
        <v>305390.31850763375</v>
      </c>
    </row>
    <row r="20" spans="2:15" x14ac:dyDescent="0.3">
      <c r="B20" s="5" t="s">
        <v>135</v>
      </c>
      <c r="C20" s="190">
        <v>0.01</v>
      </c>
      <c r="D20" s="193" t="s">
        <v>137</v>
      </c>
      <c r="E20" s="7"/>
      <c r="F20" s="508">
        <f>$C20*'Operating Cash Flow'!C$18</f>
        <v>26006.25</v>
      </c>
      <c r="G20" s="509">
        <f>$C20*'Operating Cash Flow'!D$18</f>
        <v>40179.65625</v>
      </c>
      <c r="H20" s="509">
        <f>$C20*'Operating Cash Flow'!E$18</f>
        <v>44264.991600000008</v>
      </c>
      <c r="I20" s="509">
        <f>$C20*'Operating Cash Flow'!F$18</f>
        <v>48310.143624375007</v>
      </c>
      <c r="J20" s="509">
        <f>$C20*'Operating Cash Flow'!G$18</f>
        <v>52686.474282112511</v>
      </c>
      <c r="K20" s="509">
        <f>$C20*'Operating Cash Flow'!H$18</f>
        <v>54267.068510575889</v>
      </c>
      <c r="L20" s="509">
        <f>$C20*'Operating Cash Flow'!I$18</f>
        <v>56048.217772923017</v>
      </c>
      <c r="M20" s="509">
        <f>$C20*'Operating Cash Flow'!J$18</f>
        <v>57571.932982869963</v>
      </c>
      <c r="N20" s="509">
        <f>$C20*'Operating Cash Flow'!K$18</f>
        <v>59299.090972356062</v>
      </c>
      <c r="O20" s="510">
        <f>$C20*'Operating Cash Flow'!L$18</f>
        <v>61078.063701526749</v>
      </c>
    </row>
    <row r="21" spans="2:15" x14ac:dyDescent="0.3">
      <c r="B21" s="5" t="s">
        <v>138</v>
      </c>
      <c r="C21" s="190">
        <v>0.01</v>
      </c>
      <c r="D21" s="192" t="s">
        <v>137</v>
      </c>
      <c r="F21" s="508">
        <f>$C21*'Operating Cash Flow'!C$18</f>
        <v>26006.25</v>
      </c>
      <c r="G21" s="509">
        <f>$C21*'Operating Cash Flow'!D$18</f>
        <v>40179.65625</v>
      </c>
      <c r="H21" s="509">
        <f>$C21*'Operating Cash Flow'!E$18</f>
        <v>44264.991600000008</v>
      </c>
      <c r="I21" s="509">
        <f>$C21*'Operating Cash Flow'!F$18</f>
        <v>48310.143624375007</v>
      </c>
      <c r="J21" s="509">
        <f>$C21*'Operating Cash Flow'!G$18</f>
        <v>52686.474282112511</v>
      </c>
      <c r="K21" s="509">
        <f>$C21*'Operating Cash Flow'!H$18</f>
        <v>54267.068510575889</v>
      </c>
      <c r="L21" s="509">
        <f>$C21*'Operating Cash Flow'!I$18</f>
        <v>56048.217772923017</v>
      </c>
      <c r="M21" s="509">
        <f>$C21*'Operating Cash Flow'!J$18</f>
        <v>57571.932982869963</v>
      </c>
      <c r="N21" s="509">
        <f>$C21*'Operating Cash Flow'!K$18</f>
        <v>59299.090972356062</v>
      </c>
      <c r="O21" s="510">
        <f>$C21*'Operating Cash Flow'!L$18</f>
        <v>61078.063701526749</v>
      </c>
    </row>
    <row r="22" spans="2:15" x14ac:dyDescent="0.3">
      <c r="B22" s="4" t="s">
        <v>136</v>
      </c>
      <c r="C22" s="194"/>
      <c r="D22" s="195"/>
      <c r="F22" s="219"/>
      <c r="G22" s="220"/>
      <c r="H22" s="220"/>
      <c r="I22" s="220"/>
      <c r="J22" s="220"/>
      <c r="K22" s="220"/>
      <c r="L22" s="220"/>
      <c r="M22" s="220"/>
      <c r="N22" s="220"/>
      <c r="O22" s="221"/>
    </row>
    <row r="23" spans="2:15" ht="15" x14ac:dyDescent="0.3">
      <c r="E23" s="10"/>
      <c r="F23" s="517">
        <f>SUM(F19:F22)</f>
        <v>182043.75</v>
      </c>
      <c r="G23" s="518">
        <f t="shared" ref="G23:O23" si="6">SUM(G19:G22)</f>
        <v>281257.59375</v>
      </c>
      <c r="H23" s="518">
        <f t="shared" si="6"/>
        <v>309854.94120000006</v>
      </c>
      <c r="I23" s="518">
        <f t="shared" si="6"/>
        <v>338171.00537062506</v>
      </c>
      <c r="J23" s="518">
        <f t="shared" si="6"/>
        <v>368805.31997478759</v>
      </c>
      <c r="K23" s="518">
        <f t="shared" si="6"/>
        <v>379869.47957403131</v>
      </c>
      <c r="L23" s="518">
        <f t="shared" si="6"/>
        <v>392337.52441046113</v>
      </c>
      <c r="M23" s="518">
        <f t="shared" si="6"/>
        <v>403003.53088008973</v>
      </c>
      <c r="N23" s="518">
        <f t="shared" si="6"/>
        <v>415093.63680649246</v>
      </c>
      <c r="O23" s="519">
        <f t="shared" si="6"/>
        <v>427546.44591068721</v>
      </c>
    </row>
    <row r="24" spans="2:15" x14ac:dyDescent="0.3">
      <c r="E24" s="10"/>
    </row>
    <row r="25" spans="2:15" x14ac:dyDescent="0.3">
      <c r="B25" s="99" t="s">
        <v>139</v>
      </c>
    </row>
    <row r="27" spans="2:15" x14ac:dyDescent="0.3">
      <c r="B27" s="3" t="s">
        <v>215</v>
      </c>
      <c r="C27" s="98">
        <v>1000000</v>
      </c>
    </row>
    <row r="29" spans="2:15" x14ac:dyDescent="0.3">
      <c r="B29" s="183" t="s">
        <v>139</v>
      </c>
      <c r="C29" s="184" t="s">
        <v>141</v>
      </c>
      <c r="D29" s="185"/>
      <c r="F29" s="186">
        <f>'Operating Cash Flow'!C6</f>
        <v>46234</v>
      </c>
      <c r="G29" s="187">
        <f>'Operating Cash Flow'!D6</f>
        <v>46599</v>
      </c>
      <c r="H29" s="187">
        <f>'Operating Cash Flow'!E6</f>
        <v>46965</v>
      </c>
      <c r="I29" s="187">
        <f>'Operating Cash Flow'!F6</f>
        <v>47330</v>
      </c>
      <c r="J29" s="187">
        <f>'Operating Cash Flow'!G6</f>
        <v>47695</v>
      </c>
      <c r="K29" s="187">
        <f>'Operating Cash Flow'!H6</f>
        <v>48060</v>
      </c>
      <c r="L29" s="187">
        <f>'Operating Cash Flow'!I6</f>
        <v>48426</v>
      </c>
      <c r="M29" s="187">
        <f>'Operating Cash Flow'!J6</f>
        <v>48791</v>
      </c>
      <c r="N29" s="187">
        <f>'Operating Cash Flow'!K6</f>
        <v>49156</v>
      </c>
      <c r="O29" s="188">
        <f>'Operating Cash Flow'!L6</f>
        <v>49521</v>
      </c>
    </row>
    <row r="30" spans="2:15" x14ac:dyDescent="0.3">
      <c r="B30" s="5" t="s">
        <v>140</v>
      </c>
      <c r="C30" s="190">
        <v>0.03</v>
      </c>
      <c r="D30" s="11" t="s">
        <v>142</v>
      </c>
      <c r="F30" s="326">
        <f>$C$30*'Operating Cash Flow'!C29</f>
        <v>127025.4375</v>
      </c>
      <c r="G30" s="327">
        <f>$C$30*'Operating Cash Flow'!D29</f>
        <v>189289.63819499998</v>
      </c>
      <c r="H30" s="327">
        <f>$C$30*'Operating Cash Flow'!E29</f>
        <v>207487.25351400004</v>
      </c>
      <c r="I30" s="327">
        <f>$C$30*'Operating Cash Flow'!F29</f>
        <v>225519.94124998801</v>
      </c>
      <c r="J30" s="327">
        <f>$C$30*'Operating Cash Flow'!G29</f>
        <v>245007.61375867389</v>
      </c>
      <c r="K30" s="327">
        <f>$C$30*'Operating Cash Flow'!H29</f>
        <v>252291.33533581908</v>
      </c>
      <c r="L30" s="327">
        <f>$C$30*'Operating Cash Flow'!I29</f>
        <v>260461.30243028695</v>
      </c>
      <c r="M30" s="327">
        <f>$C$30*'Operating Cash Flow'!J29</f>
        <v>267516.85962822364</v>
      </c>
      <c r="N30" s="327">
        <f>$C$30*'Operating Cash Flow'!K29</f>
        <v>275471.83607398317</v>
      </c>
      <c r="O30" s="328">
        <f>$C$30*'Operating Cash Flow'!L29</f>
        <v>283664.06730828411</v>
      </c>
    </row>
    <row r="31" spans="2:15" x14ac:dyDescent="0.3">
      <c r="B31" s="4" t="s">
        <v>143</v>
      </c>
      <c r="C31" s="196">
        <v>0.02</v>
      </c>
      <c r="D31" s="9" t="s">
        <v>209</v>
      </c>
      <c r="F31" s="329">
        <f>IF('Operating Cash Flow'!C69&gt;$C$27,('Operating Cash Flow'!C69-$C$27)*'Other Expenses'!$C$31,0)</f>
        <v>16230.262500000001</v>
      </c>
      <c r="G31" s="330">
        <f>IF('Operating Cash Flow'!D69&gt;$C$27,('Operating Cash Flow'!D69-$C$27)*'Other Expenses'!$C$31,0)</f>
        <v>34085.622303999997</v>
      </c>
      <c r="H31" s="330">
        <f>IF('Operating Cash Flow'!E69&gt;$C$27,('Operating Cash Flow'!E69-$C$27)*'Other Expenses'!$C$31,0)</f>
        <v>39294.542030800025</v>
      </c>
      <c r="I31" s="330">
        <f>IF('Operating Cash Flow'!F69&gt;$C$27,('Operating Cash Flow'!F69-$C$27)*'Other Expenses'!$C$31,0)</f>
        <v>44455.312997421104</v>
      </c>
      <c r="J31" s="330">
        <f>IF('Operating Cash Flow'!G69&gt;$C$27,('Operating Cash Flow'!G69-$C$27)*'Other Expenses'!$C$31,0)</f>
        <v>50033.281586005527</v>
      </c>
      <c r="K31" s="330">
        <f>IF('Operating Cash Flow'!H69&gt;$C$27,('Operating Cash Flow'!H69-$C$27)*'Other Expenses'!$C$31,0)</f>
        <v>52108.246775176704</v>
      </c>
      <c r="L31" s="330">
        <f>IF('Operating Cash Flow'!I69&gt;$C$27,('Operating Cash Flow'!I69-$C$27)*'Other Expenses'!$C$31,0)</f>
        <v>54436.901489501855</v>
      </c>
      <c r="M31" s="330">
        <f>IF('Operating Cash Flow'!J69&gt;$C$27,('Operating Cash Flow'!J69-$C$27)*'Other Expenses'!$C$31,0)</f>
        <v>56445.079274769225</v>
      </c>
      <c r="N31" s="330">
        <f>IF('Operating Cash Flow'!K69&gt;$C$27,('Operating Cash Flow'!K69-$C$27)*'Other Expenses'!$C$31,0)</f>
        <v>58710.679519324847</v>
      </c>
      <c r="O31" s="331">
        <f>IF('Operating Cash Flow'!L69&gt;$C$27,('Operating Cash Flow'!L69-$C$27)*'Other Expenses'!$C$31,0)</f>
        <v>61043.650915264683</v>
      </c>
    </row>
    <row r="32" spans="2:15" ht="15" x14ac:dyDescent="0.3">
      <c r="F32" s="320">
        <f>SUM(F30:F31)</f>
        <v>143255.70000000001</v>
      </c>
      <c r="G32" s="321">
        <f t="shared" ref="G32:O32" si="7">SUM(G30:G31)</f>
        <v>223375.26049899997</v>
      </c>
      <c r="H32" s="321">
        <f t="shared" si="7"/>
        <v>246781.79554480006</v>
      </c>
      <c r="I32" s="321">
        <f t="shared" si="7"/>
        <v>269975.25424740912</v>
      </c>
      <c r="J32" s="321">
        <f t="shared" si="7"/>
        <v>295040.89534467942</v>
      </c>
      <c r="K32" s="321">
        <f t="shared" si="7"/>
        <v>304399.58211099578</v>
      </c>
      <c r="L32" s="321">
        <f t="shared" si="7"/>
        <v>314898.20391978882</v>
      </c>
      <c r="M32" s="321">
        <f t="shared" si="7"/>
        <v>323961.93890299287</v>
      </c>
      <c r="N32" s="321">
        <f t="shared" si="7"/>
        <v>334182.51559330802</v>
      </c>
      <c r="O32" s="322">
        <f t="shared" si="7"/>
        <v>344707.71822354879</v>
      </c>
    </row>
    <row r="34" spans="2:15" x14ac:dyDescent="0.3">
      <c r="B34" s="99" t="s">
        <v>144</v>
      </c>
    </row>
    <row r="36" spans="2:15" x14ac:dyDescent="0.3">
      <c r="B36" s="183" t="s">
        <v>146</v>
      </c>
      <c r="C36" s="184"/>
      <c r="D36" s="185"/>
      <c r="F36" s="186">
        <f>'Operating Cash Flow'!C6</f>
        <v>46234</v>
      </c>
      <c r="G36" s="187">
        <f>'Operating Cash Flow'!D6</f>
        <v>46599</v>
      </c>
      <c r="H36" s="187">
        <f>'Operating Cash Flow'!E6</f>
        <v>46965</v>
      </c>
      <c r="I36" s="187">
        <f>'Operating Cash Flow'!F6</f>
        <v>47330</v>
      </c>
      <c r="J36" s="187">
        <f>'Operating Cash Flow'!G6</f>
        <v>47695</v>
      </c>
      <c r="K36" s="187">
        <f>'Operating Cash Flow'!H6</f>
        <v>48060</v>
      </c>
      <c r="L36" s="187">
        <f>'Operating Cash Flow'!I6</f>
        <v>48426</v>
      </c>
      <c r="M36" s="187">
        <f>'Operating Cash Flow'!J6</f>
        <v>48791</v>
      </c>
      <c r="N36" s="187">
        <f>'Operating Cash Flow'!K6</f>
        <v>49156</v>
      </c>
      <c r="O36" s="188">
        <f>'Operating Cash Flow'!L6</f>
        <v>49521</v>
      </c>
    </row>
    <row r="37" spans="2:15" x14ac:dyDescent="0.3">
      <c r="B37" s="4" t="s">
        <v>147</v>
      </c>
      <c r="C37" s="197">
        <v>0.01</v>
      </c>
      <c r="D37" s="9" t="s">
        <v>174</v>
      </c>
      <c r="F37" s="332">
        <f>$C$37*'Operating Cash Flow'!C29</f>
        <v>42341.8125</v>
      </c>
      <c r="G37" s="333">
        <f>$C$37*'Operating Cash Flow'!D29</f>
        <v>63096.546065000002</v>
      </c>
      <c r="H37" s="333">
        <f>$C$37*'Operating Cash Flow'!E29</f>
        <v>69162.417838000008</v>
      </c>
      <c r="I37" s="333">
        <f>$C$37*'Operating Cash Flow'!F29</f>
        <v>75173.313749995999</v>
      </c>
      <c r="J37" s="333">
        <f>$C$37*'Operating Cash Flow'!G29</f>
        <v>81669.20458622463</v>
      </c>
      <c r="K37" s="333">
        <f>$C$37*'Operating Cash Flow'!H29</f>
        <v>84097.11177860637</v>
      </c>
      <c r="L37" s="333">
        <f>$C$37*'Operating Cash Flow'!I29</f>
        <v>86820.434143428996</v>
      </c>
      <c r="M37" s="333">
        <f>$C$37*'Operating Cash Flow'!J29</f>
        <v>89172.286542741218</v>
      </c>
      <c r="N37" s="333">
        <f>$C$37*'Operating Cash Flow'!K29</f>
        <v>91823.945357994395</v>
      </c>
      <c r="O37" s="334">
        <f>$C$37*'Operating Cash Flow'!L29</f>
        <v>94554.689102761375</v>
      </c>
    </row>
    <row r="39" spans="2:15" x14ac:dyDescent="0.3">
      <c r="B39" s="183" t="s">
        <v>156</v>
      </c>
      <c r="C39" s="184"/>
      <c r="D39" s="185"/>
      <c r="F39" s="186">
        <f>'Operating Cash Flow'!C6</f>
        <v>46234</v>
      </c>
      <c r="G39" s="187">
        <f>'Operating Cash Flow'!D6</f>
        <v>46599</v>
      </c>
      <c r="H39" s="187">
        <f>'Operating Cash Flow'!E6</f>
        <v>46965</v>
      </c>
      <c r="I39" s="187">
        <f>'Operating Cash Flow'!F6</f>
        <v>47330</v>
      </c>
      <c r="J39" s="187">
        <f>'Operating Cash Flow'!G6</f>
        <v>47695</v>
      </c>
      <c r="K39" s="187">
        <f>'Operating Cash Flow'!H6</f>
        <v>48060</v>
      </c>
      <c r="L39" s="187">
        <f>'Operating Cash Flow'!I6</f>
        <v>48426</v>
      </c>
      <c r="M39" s="187">
        <f>'Operating Cash Flow'!J6</f>
        <v>48791</v>
      </c>
      <c r="N39" s="187">
        <f>'Operating Cash Flow'!K6</f>
        <v>49156</v>
      </c>
      <c r="O39" s="188">
        <f>'Operating Cash Flow'!L6</f>
        <v>49521</v>
      </c>
    </row>
    <row r="40" spans="2:15" x14ac:dyDescent="0.3">
      <c r="B40" s="4" t="s">
        <v>157</v>
      </c>
      <c r="C40" s="198">
        <v>0.02</v>
      </c>
      <c r="D40" s="9" t="s">
        <v>174</v>
      </c>
      <c r="F40" s="329">
        <f>$C$40*'Operating Cash Flow'!C29</f>
        <v>84683.625</v>
      </c>
      <c r="G40" s="330">
        <f>$C$40*'Operating Cash Flow'!D29</f>
        <v>126193.09213</v>
      </c>
      <c r="H40" s="330">
        <f>$C$40*'Operating Cash Flow'!E29</f>
        <v>138324.83567600002</v>
      </c>
      <c r="I40" s="330">
        <f>$C$40*'Operating Cash Flow'!F29</f>
        <v>150346.627499992</v>
      </c>
      <c r="J40" s="330">
        <f>$C$40*'Operating Cash Flow'!G29</f>
        <v>163338.40917244926</v>
      </c>
      <c r="K40" s="330">
        <f>$C$40*'Operating Cash Flow'!H29</f>
        <v>168194.22355721274</v>
      </c>
      <c r="L40" s="330">
        <f>$C$40*'Operating Cash Flow'!I29</f>
        <v>173640.86828685799</v>
      </c>
      <c r="M40" s="330">
        <f>$C$40*'Operating Cash Flow'!J29</f>
        <v>178344.57308548244</v>
      </c>
      <c r="N40" s="330">
        <f>$C$40*'Operating Cash Flow'!K29</f>
        <v>183647.89071598879</v>
      </c>
      <c r="O40" s="331">
        <f>$C$40*'Operating Cash Flow'!L29</f>
        <v>189109.37820552275</v>
      </c>
    </row>
    <row r="41" spans="2:15" x14ac:dyDescent="0.3">
      <c r="F41" s="335"/>
      <c r="G41" s="335"/>
      <c r="H41" s="335"/>
      <c r="I41" s="335"/>
      <c r="J41" s="335"/>
      <c r="K41" s="335"/>
      <c r="L41" s="335"/>
      <c r="M41" s="335"/>
      <c r="N41" s="335"/>
      <c r="O41" s="335"/>
    </row>
    <row r="42" spans="2:15" x14ac:dyDescent="0.3">
      <c r="B42" s="183" t="s">
        <v>145</v>
      </c>
      <c r="C42" s="184"/>
      <c r="D42" s="185"/>
      <c r="F42" s="186">
        <f>'Operating Cash Flow'!C6</f>
        <v>46234</v>
      </c>
      <c r="G42" s="187">
        <f>'Operating Cash Flow'!D6</f>
        <v>46599</v>
      </c>
      <c r="H42" s="187">
        <f>'Operating Cash Flow'!E6</f>
        <v>46965</v>
      </c>
      <c r="I42" s="187">
        <f>'Operating Cash Flow'!F6</f>
        <v>47330</v>
      </c>
      <c r="J42" s="187">
        <f>'Operating Cash Flow'!G6</f>
        <v>47695</v>
      </c>
      <c r="K42" s="187">
        <f>'Operating Cash Flow'!H6</f>
        <v>48060</v>
      </c>
      <c r="L42" s="187">
        <f>'Operating Cash Flow'!I6</f>
        <v>48426</v>
      </c>
      <c r="M42" s="187">
        <f>'Operating Cash Flow'!J6</f>
        <v>48791</v>
      </c>
      <c r="N42" s="187">
        <f>'Operating Cash Flow'!K6</f>
        <v>49156</v>
      </c>
      <c r="O42" s="188">
        <f>'Operating Cash Flow'!L6</f>
        <v>49521</v>
      </c>
    </row>
    <row r="43" spans="2:15" x14ac:dyDescent="0.3">
      <c r="B43" s="5" t="s">
        <v>153</v>
      </c>
      <c r="C43" s="191">
        <v>50000</v>
      </c>
      <c r="D43" s="11"/>
      <c r="F43" s="336">
        <f t="shared" ref="F43:O43" si="8">$C$43</f>
        <v>50000</v>
      </c>
      <c r="G43" s="337">
        <f t="shared" si="8"/>
        <v>50000</v>
      </c>
      <c r="H43" s="337">
        <f t="shared" si="8"/>
        <v>50000</v>
      </c>
      <c r="I43" s="337">
        <f t="shared" si="8"/>
        <v>50000</v>
      </c>
      <c r="J43" s="337">
        <f t="shared" si="8"/>
        <v>50000</v>
      </c>
      <c r="K43" s="337">
        <f t="shared" si="8"/>
        <v>50000</v>
      </c>
      <c r="L43" s="337">
        <f t="shared" si="8"/>
        <v>50000</v>
      </c>
      <c r="M43" s="337">
        <f t="shared" si="8"/>
        <v>50000</v>
      </c>
      <c r="N43" s="337">
        <f t="shared" si="8"/>
        <v>50000</v>
      </c>
      <c r="O43" s="338">
        <f t="shared" si="8"/>
        <v>50000</v>
      </c>
    </row>
    <row r="44" spans="2:15" x14ac:dyDescent="0.3">
      <c r="B44" s="5" t="s">
        <v>154</v>
      </c>
      <c r="C44" s="246">
        <f>Summary!C37</f>
        <v>0.19</v>
      </c>
      <c r="D44" s="11" t="s">
        <v>210</v>
      </c>
      <c r="F44" s="339">
        <f>$C$44*'Operating Cash Flow'!C79</f>
        <v>308923.96637500002</v>
      </c>
      <c r="G44" s="340">
        <f>$C$44*'Operating Cash Flow'!D79</f>
        <v>459383.76864083996</v>
      </c>
      <c r="H44" s="340">
        <f>$C$44*'Operating Cash Flow'!E79</f>
        <v>503268.74874986819</v>
      </c>
      <c r="I44" s="340">
        <f>$C$44*'Operating Cash Flow'!F79</f>
        <v>546747.2455559934</v>
      </c>
      <c r="J44" s="340">
        <f>$C$44*'Operating Cash Flow'!G79</f>
        <v>593741.25608018076</v>
      </c>
      <c r="K44" s="340">
        <f>$C$44*'Operating Cash Flow'!H79</f>
        <v>611213.97252515424</v>
      </c>
      <c r="L44" s="340">
        <f>$C$44*'Operating Cash Flow'!I79</f>
        <v>630824.02291825623</v>
      </c>
      <c r="M44" s="340">
        <f>$C$44*'Operating Cash Flow'!J79</f>
        <v>647732.75027561805</v>
      </c>
      <c r="N44" s="340">
        <f>$C$44*'Operating Cash Flow'!K79</f>
        <v>666810.22785283858</v>
      </c>
      <c r="O44" s="341">
        <f>$C$44*'Operating Cash Flow'!L79</f>
        <v>686454.82630301546</v>
      </c>
    </row>
    <row r="45" spans="2:15" x14ac:dyDescent="0.3">
      <c r="B45" s="4" t="s">
        <v>155</v>
      </c>
      <c r="C45" s="8"/>
      <c r="D45" s="9"/>
      <c r="F45" s="219"/>
      <c r="G45" s="220"/>
      <c r="H45" s="220"/>
      <c r="I45" s="220"/>
      <c r="J45" s="220"/>
      <c r="K45" s="220"/>
      <c r="L45" s="220"/>
      <c r="M45" s="220"/>
      <c r="N45" s="220"/>
      <c r="O45" s="221"/>
    </row>
    <row r="46" spans="2:15" ht="15" x14ac:dyDescent="0.3">
      <c r="F46" s="320">
        <f>SUM(F43:F45)</f>
        <v>358923.96637500002</v>
      </c>
      <c r="G46" s="321">
        <f t="shared" ref="G46:O46" si="9">SUM(G43:G45)</f>
        <v>509383.76864083996</v>
      </c>
      <c r="H46" s="321">
        <f t="shared" si="9"/>
        <v>553268.74874986825</v>
      </c>
      <c r="I46" s="321">
        <f t="shared" si="9"/>
        <v>596747.2455559934</v>
      </c>
      <c r="J46" s="321">
        <f t="shared" si="9"/>
        <v>643741.25608018076</v>
      </c>
      <c r="K46" s="321">
        <f t="shared" si="9"/>
        <v>661213.97252515424</v>
      </c>
      <c r="L46" s="321">
        <f t="shared" si="9"/>
        <v>680824.02291825623</v>
      </c>
      <c r="M46" s="321">
        <f t="shared" si="9"/>
        <v>697732.75027561805</v>
      </c>
      <c r="N46" s="321">
        <f t="shared" si="9"/>
        <v>716810.22785283858</v>
      </c>
      <c r="O46" s="322">
        <f t="shared" si="9"/>
        <v>736454.82630301546</v>
      </c>
    </row>
    <row r="47" spans="2:15" x14ac:dyDescent="0.3">
      <c r="F47" s="335"/>
      <c r="G47" s="335"/>
      <c r="H47" s="335"/>
      <c r="I47" s="335"/>
      <c r="J47" s="335"/>
      <c r="K47" s="335"/>
      <c r="L47" s="335"/>
      <c r="M47" s="335"/>
      <c r="N47" s="335"/>
      <c r="O47" s="33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AAF8-B818-49E1-971F-FF007523173D}">
  <sheetPr>
    <tabColor theme="0"/>
  </sheetPr>
  <dimension ref="A1:R129"/>
  <sheetViews>
    <sheetView topLeftCell="A40" zoomScaleNormal="100" workbookViewId="0">
      <selection activeCell="N83" sqref="N83"/>
    </sheetView>
  </sheetViews>
  <sheetFormatPr defaultRowHeight="14.5" x14ac:dyDescent="0.35"/>
  <cols>
    <col min="1" max="1" width="5.81640625" style="12" bestFit="1" customWidth="1"/>
    <col min="2" max="2" width="32.6328125" style="12" bestFit="1" customWidth="1"/>
    <col min="3" max="3" width="27.1796875" style="12" bestFit="1" customWidth="1"/>
    <col min="4" max="4" width="1.81640625" style="12" customWidth="1"/>
    <col min="5" max="5" width="15.90625" style="12" customWidth="1"/>
    <col min="6" max="15" width="15.36328125" style="12" bestFit="1" customWidth="1"/>
    <col min="16" max="16384" width="8.7265625" style="12"/>
  </cols>
  <sheetData>
    <row r="1" spans="2:15" ht="42.5" x14ac:dyDescent="1.1000000000000001">
      <c r="B1" s="31" t="s">
        <v>203</v>
      </c>
    </row>
    <row r="2" spans="2:15" x14ac:dyDescent="0.35">
      <c r="B2" s="14" t="str">
        <f>'Cash Flow Projection - Advanced'!B2</f>
        <v>XpertHotel 113  Park Lane London, W1K 7AJ</v>
      </c>
    </row>
    <row r="3" spans="2:15" ht="15" thickBot="1" x14ac:dyDescent="0.4"/>
    <row r="4" spans="2:15" x14ac:dyDescent="0.35">
      <c r="B4" s="205" t="s">
        <v>181</v>
      </c>
      <c r="C4" s="206"/>
      <c r="E4" s="205"/>
      <c r="F4" s="207" t="s">
        <v>57</v>
      </c>
      <c r="G4" s="207" t="s">
        <v>58</v>
      </c>
      <c r="H4" s="207" t="s">
        <v>40</v>
      </c>
      <c r="I4" s="208" t="s">
        <v>41</v>
      </c>
    </row>
    <row r="5" spans="2:15" ht="15" thickBot="1" x14ac:dyDescent="0.4">
      <c r="B5" s="15" t="s">
        <v>182</v>
      </c>
      <c r="C5" s="16"/>
      <c r="E5" s="25" t="s">
        <v>183</v>
      </c>
      <c r="F5" s="26">
        <f>-SUM(E22:O22)</f>
        <v>-12680000</v>
      </c>
      <c r="G5" s="27">
        <f>SUM(E55:O55)</f>
        <v>20937204.775442049</v>
      </c>
      <c r="H5" s="29">
        <f>C55</f>
        <v>0.12417907901108266</v>
      </c>
      <c r="I5" s="30">
        <f>SUMIF(E55:O55,"&gt;0")/-SUMIF(E55:O55,"&lt;0")</f>
        <v>2.651199114782496</v>
      </c>
    </row>
    <row r="6" spans="2:15" x14ac:dyDescent="0.35">
      <c r="B6" s="15" t="s">
        <v>183</v>
      </c>
      <c r="C6" s="17">
        <v>0.8</v>
      </c>
    </row>
    <row r="7" spans="2:15" x14ac:dyDescent="0.35">
      <c r="B7" s="15" t="s">
        <v>184</v>
      </c>
      <c r="C7" s="18">
        <f>1-C6</f>
        <v>0.19999999999999996</v>
      </c>
    </row>
    <row r="8" spans="2:15" x14ac:dyDescent="0.35">
      <c r="B8" s="15" t="s">
        <v>185</v>
      </c>
      <c r="C8" s="17">
        <v>0.08</v>
      </c>
    </row>
    <row r="9" spans="2:15" x14ac:dyDescent="0.35">
      <c r="B9" s="15" t="s">
        <v>220</v>
      </c>
      <c r="C9" s="17">
        <v>1</v>
      </c>
    </row>
    <row r="10" spans="2:15" ht="15" thickBot="1" x14ac:dyDescent="0.4">
      <c r="B10" s="19"/>
      <c r="C10" s="260"/>
    </row>
    <row r="13" spans="2:15" x14ac:dyDescent="0.35">
      <c r="B13" s="201"/>
      <c r="C13" s="201"/>
      <c r="D13" s="201"/>
      <c r="E13" s="201"/>
      <c r="F13" s="203">
        <v>1</v>
      </c>
      <c r="G13" s="203">
        <v>2</v>
      </c>
      <c r="H13" s="203">
        <v>3</v>
      </c>
      <c r="I13" s="203">
        <v>4</v>
      </c>
      <c r="J13" s="203">
        <v>5</v>
      </c>
      <c r="K13" s="203">
        <v>6</v>
      </c>
      <c r="L13" s="203">
        <v>7</v>
      </c>
      <c r="M13" s="203">
        <v>8</v>
      </c>
      <c r="N13" s="203">
        <v>9</v>
      </c>
      <c r="O13" s="203">
        <v>10</v>
      </c>
    </row>
    <row r="14" spans="2:15" x14ac:dyDescent="0.35">
      <c r="B14" s="201"/>
      <c r="C14" s="201"/>
      <c r="D14" s="201"/>
      <c r="E14" s="201"/>
      <c r="F14" s="201">
        <f>YEAR(F15)</f>
        <v>2026</v>
      </c>
      <c r="G14" s="201">
        <f t="shared" ref="G14:O14" si="0">YEAR(G15)</f>
        <v>2027</v>
      </c>
      <c r="H14" s="201">
        <f t="shared" si="0"/>
        <v>2028</v>
      </c>
      <c r="I14" s="201">
        <f t="shared" si="0"/>
        <v>2029</v>
      </c>
      <c r="J14" s="201">
        <f t="shared" si="0"/>
        <v>2030</v>
      </c>
      <c r="K14" s="201">
        <f t="shared" si="0"/>
        <v>2031</v>
      </c>
      <c r="L14" s="201">
        <f t="shared" si="0"/>
        <v>2032</v>
      </c>
      <c r="M14" s="201">
        <f t="shared" si="0"/>
        <v>2033</v>
      </c>
      <c r="N14" s="201">
        <f t="shared" si="0"/>
        <v>2034</v>
      </c>
      <c r="O14" s="201">
        <f t="shared" si="0"/>
        <v>2035</v>
      </c>
    </row>
    <row r="15" spans="2:15" x14ac:dyDescent="0.35">
      <c r="B15" s="201" t="s">
        <v>63</v>
      </c>
      <c r="C15" s="201"/>
      <c r="D15" s="201"/>
      <c r="E15" s="204">
        <f>Summary!C10</f>
        <v>45869</v>
      </c>
      <c r="F15" s="204">
        <f>EDATE(E15,12)</f>
        <v>46234</v>
      </c>
      <c r="G15" s="204">
        <f t="shared" ref="G15:M15" si="1">EDATE(F15,12)</f>
        <v>46599</v>
      </c>
      <c r="H15" s="204">
        <f t="shared" si="1"/>
        <v>46965</v>
      </c>
      <c r="I15" s="204">
        <f t="shared" si="1"/>
        <v>47330</v>
      </c>
      <c r="J15" s="204">
        <f t="shared" si="1"/>
        <v>47695</v>
      </c>
      <c r="K15" s="204">
        <f t="shared" si="1"/>
        <v>48060</v>
      </c>
      <c r="L15" s="204">
        <f t="shared" si="1"/>
        <v>48426</v>
      </c>
      <c r="M15" s="204">
        <f t="shared" si="1"/>
        <v>48791</v>
      </c>
      <c r="N15" s="204">
        <f>EDATE(M15,12)</f>
        <v>49156</v>
      </c>
      <c r="O15" s="204">
        <f>EDATE(N15,12)</f>
        <v>49521</v>
      </c>
    </row>
    <row r="17" spans="2:16" x14ac:dyDescent="0.35">
      <c r="B17" s="12" t="s">
        <v>186</v>
      </c>
      <c r="E17" s="22">
        <f>'Cash Flow Projection - Advanced'!C63</f>
        <v>-12680000</v>
      </c>
      <c r="F17" s="22">
        <f>'Cash Flow Projection - Advanced'!D63</f>
        <v>282308.02112499997</v>
      </c>
      <c r="G17" s="22">
        <f>'Cash Flow Projection - Advanced'!E63</f>
        <v>882232.44786515995</v>
      </c>
      <c r="H17" s="22">
        <f>'Cash Flow Projection - Advanced'!F63</f>
        <v>1057189.3037313328</v>
      </c>
      <c r="I17" s="22">
        <f>'Cash Flow Projection - Advanced'!G63</f>
        <v>970988.50311144395</v>
      </c>
      <c r="J17" s="22">
        <f>'Cash Flow Projection - Advanced'!H63</f>
        <v>1158339.6084105219</v>
      </c>
      <c r="K17" s="22">
        <f>'Cash Flow Projection - Advanced'!I63</f>
        <v>1227972.7430806472</v>
      </c>
      <c r="L17" s="22">
        <f>'Cash Flow Projection - Advanced'!J63</f>
        <v>1306126.8395005399</v>
      </c>
      <c r="M17" s="22">
        <f>'Cash Flow Projection - Advanced'!K63</f>
        <v>1373507.7092254036</v>
      </c>
      <c r="N17" s="22">
        <f>'Cash Flow Projection - Advanced'!L63</f>
        <v>1449534.690739892</v>
      </c>
      <c r="O17" s="22">
        <f>'Cash Flow Projection - Advanced'!M63</f>
        <v>29143306.10251262</v>
      </c>
      <c r="P17" s="20"/>
    </row>
    <row r="18" spans="2:16" x14ac:dyDescent="0.35">
      <c r="E18" s="22"/>
      <c r="F18" s="22"/>
      <c r="G18" s="22"/>
      <c r="H18" s="22"/>
      <c r="I18" s="22"/>
      <c r="J18" s="22"/>
      <c r="K18" s="22"/>
      <c r="L18" s="22"/>
      <c r="M18" s="22"/>
      <c r="N18" s="22"/>
      <c r="O18" s="22"/>
    </row>
    <row r="19" spans="2:16" x14ac:dyDescent="0.35">
      <c r="B19" s="199" t="s">
        <v>221</v>
      </c>
      <c r="C19" s="201"/>
      <c r="D19" s="201"/>
      <c r="E19" s="202"/>
      <c r="F19" s="202"/>
      <c r="G19" s="202"/>
      <c r="H19" s="202"/>
      <c r="I19" s="202"/>
      <c r="J19" s="202"/>
      <c r="K19" s="202"/>
      <c r="L19" s="202"/>
      <c r="M19" s="202"/>
      <c r="N19" s="202"/>
      <c r="O19" s="202"/>
    </row>
    <row r="20" spans="2:16" x14ac:dyDescent="0.35">
      <c r="B20" s="13" t="s">
        <v>187</v>
      </c>
      <c r="E20" s="22"/>
      <c r="F20" s="22"/>
      <c r="G20" s="22"/>
      <c r="H20" s="22"/>
      <c r="I20" s="22"/>
      <c r="J20" s="22"/>
      <c r="K20" s="22"/>
      <c r="L20" s="22"/>
      <c r="M20" s="22"/>
      <c r="N20" s="22"/>
      <c r="O20" s="22"/>
    </row>
    <row r="21" spans="2:16" x14ac:dyDescent="0.35">
      <c r="B21" s="21" t="s">
        <v>188</v>
      </c>
      <c r="E21" s="261"/>
      <c r="F21" s="22">
        <f>E25</f>
        <v>12680000</v>
      </c>
      <c r="G21" s="22">
        <f t="shared" ref="G21:O21" si="2">F25</f>
        <v>12397691.978875</v>
      </c>
      <c r="H21" s="22">
        <f t="shared" si="2"/>
        <v>11797767.55213484</v>
      </c>
      <c r="I21" s="22">
        <f t="shared" si="2"/>
        <v>11622810.696268667</v>
      </c>
      <c r="J21" s="22">
        <f t="shared" si="2"/>
        <v>11622810.696268667</v>
      </c>
      <c r="K21" s="22">
        <f t="shared" si="2"/>
        <v>11521660.391589478</v>
      </c>
      <c r="L21" s="22">
        <f t="shared" si="2"/>
        <v>11452027.256919352</v>
      </c>
      <c r="M21" s="22">
        <f t="shared" si="2"/>
        <v>11373873.160499459</v>
      </c>
      <c r="N21" s="22">
        <f t="shared" si="2"/>
        <v>11306492.290774595</v>
      </c>
      <c r="O21" s="22">
        <f t="shared" si="2"/>
        <v>11230465.309260106</v>
      </c>
    </row>
    <row r="22" spans="2:16" x14ac:dyDescent="0.35">
      <c r="B22" s="21" t="s">
        <v>189</v>
      </c>
      <c r="E22" s="23">
        <f>IF(E17&lt;0,-E17,0)</f>
        <v>12680000</v>
      </c>
      <c r="F22" s="264"/>
      <c r="G22" s="264"/>
      <c r="H22" s="264"/>
      <c r="I22" s="264"/>
      <c r="J22" s="264"/>
      <c r="K22" s="264"/>
      <c r="L22" s="264"/>
      <c r="M22" s="264"/>
      <c r="N22" s="264"/>
      <c r="O22" s="264"/>
    </row>
    <row r="23" spans="2:16" x14ac:dyDescent="0.35">
      <c r="B23" s="21" t="s">
        <v>190</v>
      </c>
      <c r="E23" s="261"/>
      <c r="F23" s="22">
        <f t="shared" ref="F23:O23" si="3">F21*$C$8</f>
        <v>1014400</v>
      </c>
      <c r="G23" s="22">
        <f t="shared" si="3"/>
        <v>991815.35831000004</v>
      </c>
      <c r="H23" s="22">
        <f t="shared" si="3"/>
        <v>943821.40417078719</v>
      </c>
      <c r="I23" s="22">
        <f t="shared" si="3"/>
        <v>929824.85570149333</v>
      </c>
      <c r="J23" s="22">
        <f t="shared" si="3"/>
        <v>929824.85570149333</v>
      </c>
      <c r="K23" s="22">
        <f t="shared" si="3"/>
        <v>921732.83132715826</v>
      </c>
      <c r="L23" s="22">
        <f t="shared" si="3"/>
        <v>916162.18055354815</v>
      </c>
      <c r="M23" s="22">
        <f t="shared" si="3"/>
        <v>909909.85283995676</v>
      </c>
      <c r="N23" s="22">
        <f t="shared" si="3"/>
        <v>904519.38326196757</v>
      </c>
      <c r="O23" s="22">
        <f t="shared" si="3"/>
        <v>898437.22474080848</v>
      </c>
    </row>
    <row r="24" spans="2:16" x14ac:dyDescent="0.35">
      <c r="B24" s="21" t="s">
        <v>191</v>
      </c>
      <c r="E24" s="261"/>
      <c r="F24" s="22">
        <f t="shared" ref="F24:O24" si="4">-(F27+F30)</f>
        <v>-1296708.021125</v>
      </c>
      <c r="G24" s="22">
        <f t="shared" si="4"/>
        <v>-1591739.78505016</v>
      </c>
      <c r="H24" s="22">
        <f t="shared" si="4"/>
        <v>-1118778.26003696</v>
      </c>
      <c r="I24" s="22">
        <f t="shared" si="4"/>
        <v>-929824.85570149333</v>
      </c>
      <c r="J24" s="22">
        <f t="shared" si="4"/>
        <v>-1030975.1603806824</v>
      </c>
      <c r="K24" s="22">
        <f t="shared" si="4"/>
        <v>-991365.96599728358</v>
      </c>
      <c r="L24" s="22">
        <f t="shared" si="4"/>
        <v>-994316.27697344089</v>
      </c>
      <c r="M24" s="22">
        <f t="shared" si="4"/>
        <v>-977290.72256482043</v>
      </c>
      <c r="N24" s="22">
        <f t="shared" si="4"/>
        <v>-980546.36477645591</v>
      </c>
      <c r="O24" s="22">
        <f t="shared" si="4"/>
        <v>-12128902.534000916</v>
      </c>
    </row>
    <row r="25" spans="2:16" ht="14.5" customHeight="1" x14ac:dyDescent="0.35">
      <c r="B25" s="21" t="s">
        <v>192</v>
      </c>
      <c r="E25" s="244">
        <f>SUM(E21:E24)</f>
        <v>12680000</v>
      </c>
      <c r="F25" s="244">
        <f t="shared" ref="F25:O25" si="5">SUM(F21:F24)</f>
        <v>12397691.978875</v>
      </c>
      <c r="G25" s="244">
        <f t="shared" si="5"/>
        <v>11797767.55213484</v>
      </c>
      <c r="H25" s="244">
        <f t="shared" si="5"/>
        <v>11622810.696268667</v>
      </c>
      <c r="I25" s="244">
        <f t="shared" si="5"/>
        <v>11622810.696268667</v>
      </c>
      <c r="J25" s="244">
        <f t="shared" si="5"/>
        <v>11521660.391589478</v>
      </c>
      <c r="K25" s="244">
        <f t="shared" si="5"/>
        <v>11452027.256919352</v>
      </c>
      <c r="L25" s="244">
        <f t="shared" si="5"/>
        <v>11373873.160499459</v>
      </c>
      <c r="M25" s="244">
        <f t="shared" si="5"/>
        <v>11306492.290774595</v>
      </c>
      <c r="N25" s="244">
        <f t="shared" si="5"/>
        <v>11230465.309260106</v>
      </c>
      <c r="O25" s="244">
        <f t="shared" si="5"/>
        <v>0</v>
      </c>
    </row>
    <row r="26" spans="2:16" ht="14.5" customHeight="1" x14ac:dyDescent="0.35">
      <c r="E26" s="22"/>
      <c r="F26" s="22"/>
      <c r="G26" s="22"/>
      <c r="H26" s="22"/>
      <c r="I26" s="22"/>
      <c r="J26" s="22"/>
      <c r="K26" s="22"/>
      <c r="L26" s="22"/>
      <c r="M26" s="22"/>
      <c r="N26" s="22"/>
      <c r="O26" s="22"/>
    </row>
    <row r="27" spans="2:16" ht="14.5" customHeight="1" x14ac:dyDescent="0.35">
      <c r="B27" s="12" t="s">
        <v>222</v>
      </c>
      <c r="E27" s="261"/>
      <c r="F27" s="22">
        <f>MAX(0,MIN(F17, -$E$17)-SUM($E27:E27))</f>
        <v>282308.02112499997</v>
      </c>
      <c r="G27" s="22">
        <f>MAX(0,MIN(G17, -$E$17)-SUM($E27:F27))</f>
        <v>599924.42674015998</v>
      </c>
      <c r="H27" s="22">
        <f>MAX(0,MIN(H17, -$E$17)-SUM($E27:G27))</f>
        <v>174956.85586617282</v>
      </c>
      <c r="I27" s="22">
        <f>MAX(0,MIN(I17, -$E$17)-SUM($E27:H27))</f>
        <v>0</v>
      </c>
      <c r="J27" s="22">
        <f>MAX(0,MIN(J17, -$E$17)-SUM($E27:I27))</f>
        <v>101150.30467918911</v>
      </c>
      <c r="K27" s="22">
        <f>MAX(0,MIN(K17, -$E$17)-SUM($E27:J27))</f>
        <v>69633.134670125321</v>
      </c>
      <c r="L27" s="22">
        <f>MAX(0,MIN(L17, -$E$17)-SUM($E27:K27))</f>
        <v>78154.09641989274</v>
      </c>
      <c r="M27" s="22">
        <f>MAX(0,MIN(M17, -$E$17)-SUM($E27:L27))</f>
        <v>67380.869724863674</v>
      </c>
      <c r="N27" s="22">
        <f>MAX(0,MIN(N17, -$E$17)-SUM($E27:M27))</f>
        <v>76026.981514488347</v>
      </c>
      <c r="O27" s="22">
        <f>MAX(0,MIN(O17, -$E$17)-SUM($E27:N27))</f>
        <v>11230465.309260108</v>
      </c>
    </row>
    <row r="28" spans="2:16" ht="14.5" customHeight="1" x14ac:dyDescent="0.35">
      <c r="B28" s="12" t="s">
        <v>223</v>
      </c>
      <c r="E28" s="261"/>
      <c r="F28" s="262">
        <f>IF(SUM(E27:F27)&gt;=-E17, 1, 0)</f>
        <v>0</v>
      </c>
      <c r="G28" s="262">
        <f>IF(SUM($F27:G27)&gt;=-$E$17,1,0)</f>
        <v>0</v>
      </c>
      <c r="H28" s="262">
        <f>IF(SUM($F27:H27)&gt;=-$E$17,1,0)</f>
        <v>0</v>
      </c>
      <c r="I28" s="262">
        <f>IF(SUM($F27:I27)&gt;=-$E$17,1,0)</f>
        <v>0</v>
      </c>
      <c r="J28" s="262">
        <f>IF(SUM($F27:J27)&gt;=-$E$17,1,0)</f>
        <v>0</v>
      </c>
      <c r="K28" s="262">
        <f>IF(SUM($F27:K27)&gt;=-$E$17,1,0)</f>
        <v>0</v>
      </c>
      <c r="L28" s="262">
        <f>IF(SUM($F27:L27)&gt;=-$E$17,1,0)</f>
        <v>0</v>
      </c>
      <c r="M28" s="262">
        <f>IF(SUM($F27:M27)&gt;=-$E$17,1,0)</f>
        <v>0</v>
      </c>
      <c r="N28" s="262">
        <f>IF(SUM($F27:N27)&gt;=-$E$17,1,0)</f>
        <v>0</v>
      </c>
      <c r="O28" s="262">
        <f>IF(SUM($F27:O27)&gt;=-$E$17,1,0)</f>
        <v>1</v>
      </c>
    </row>
    <row r="29" spans="2:16" ht="14.5" customHeight="1" x14ac:dyDescent="0.35">
      <c r="E29" s="22"/>
      <c r="F29" s="22"/>
      <c r="G29" s="22"/>
      <c r="H29" s="22"/>
      <c r="I29" s="22"/>
      <c r="J29" s="22"/>
      <c r="K29" s="22"/>
      <c r="L29" s="22"/>
      <c r="M29" s="22"/>
      <c r="N29" s="22"/>
      <c r="O29" s="22"/>
    </row>
    <row r="30" spans="2:16" ht="14.5" customHeight="1" x14ac:dyDescent="0.35">
      <c r="B30" s="12" t="s">
        <v>224</v>
      </c>
      <c r="E30" s="261"/>
      <c r="F30" s="22">
        <f>F23</f>
        <v>1014400</v>
      </c>
      <c r="G30" s="22">
        <f t="shared" ref="G30:O30" si="6">G23</f>
        <v>991815.35831000004</v>
      </c>
      <c r="H30" s="22">
        <f t="shared" si="6"/>
        <v>943821.40417078719</v>
      </c>
      <c r="I30" s="22">
        <f t="shared" si="6"/>
        <v>929824.85570149333</v>
      </c>
      <c r="J30" s="22">
        <f t="shared" si="6"/>
        <v>929824.85570149333</v>
      </c>
      <c r="K30" s="22">
        <f t="shared" si="6"/>
        <v>921732.83132715826</v>
      </c>
      <c r="L30" s="22">
        <f t="shared" si="6"/>
        <v>916162.18055354815</v>
      </c>
      <c r="M30" s="22">
        <f t="shared" si="6"/>
        <v>909909.85283995676</v>
      </c>
      <c r="N30" s="22">
        <f t="shared" si="6"/>
        <v>904519.38326196757</v>
      </c>
      <c r="O30" s="22">
        <f t="shared" si="6"/>
        <v>898437.22474080848</v>
      </c>
    </row>
    <row r="31" spans="2:16" ht="14.5" customHeight="1" x14ac:dyDescent="0.35">
      <c r="B31" s="12" t="s">
        <v>225</v>
      </c>
      <c r="E31" s="22">
        <f>E17</f>
        <v>-12680000</v>
      </c>
      <c r="F31" s="22">
        <f t="shared" ref="F31:O31" si="7">F27+F30</f>
        <v>1296708.021125</v>
      </c>
      <c r="G31" s="22">
        <f t="shared" si="7"/>
        <v>1591739.78505016</v>
      </c>
      <c r="H31" s="22">
        <f t="shared" si="7"/>
        <v>1118778.26003696</v>
      </c>
      <c r="I31" s="22">
        <f t="shared" si="7"/>
        <v>929824.85570149333</v>
      </c>
      <c r="J31" s="22">
        <f t="shared" si="7"/>
        <v>1030975.1603806824</v>
      </c>
      <c r="K31" s="22">
        <f t="shared" si="7"/>
        <v>991365.96599728358</v>
      </c>
      <c r="L31" s="22">
        <f t="shared" si="7"/>
        <v>994316.27697344089</v>
      </c>
      <c r="M31" s="22">
        <f t="shared" si="7"/>
        <v>977290.72256482043</v>
      </c>
      <c r="N31" s="22">
        <f t="shared" si="7"/>
        <v>980546.36477645591</v>
      </c>
      <c r="O31" s="22">
        <f t="shared" si="7"/>
        <v>12128902.534000916</v>
      </c>
    </row>
    <row r="32" spans="2:16" ht="14.5" customHeight="1" x14ac:dyDescent="0.35">
      <c r="B32" s="12" t="s">
        <v>226</v>
      </c>
      <c r="C32" s="263">
        <f>XIRR(E31:O31, E15:O15)</f>
        <v>7.9953846335411111E-2</v>
      </c>
      <c r="E32" s="261"/>
      <c r="F32" s="262">
        <f>IF(AND(E25&lt;&gt;0, F25=0), 1, 0)</f>
        <v>0</v>
      </c>
      <c r="G32" s="262">
        <f t="shared" ref="G32:O32" si="8">IF(AND(F25&lt;&gt;0, G25=0), 1, 0)</f>
        <v>0</v>
      </c>
      <c r="H32" s="262">
        <f t="shared" si="8"/>
        <v>0</v>
      </c>
      <c r="I32" s="262">
        <f t="shared" si="8"/>
        <v>0</v>
      </c>
      <c r="J32" s="262">
        <f t="shared" si="8"/>
        <v>0</v>
      </c>
      <c r="K32" s="262">
        <f t="shared" si="8"/>
        <v>0</v>
      </c>
      <c r="L32" s="262">
        <f t="shared" si="8"/>
        <v>0</v>
      </c>
      <c r="M32" s="262">
        <f t="shared" si="8"/>
        <v>0</v>
      </c>
      <c r="N32" s="262">
        <f t="shared" si="8"/>
        <v>0</v>
      </c>
      <c r="O32" s="262">
        <f t="shared" si="8"/>
        <v>1</v>
      </c>
    </row>
    <row r="33" spans="2:15" ht="14.5" customHeight="1" x14ac:dyDescent="0.35">
      <c r="E33" s="22"/>
      <c r="F33" s="22"/>
      <c r="G33" s="22"/>
      <c r="H33" s="22"/>
      <c r="I33" s="22"/>
      <c r="J33" s="22"/>
      <c r="K33" s="22"/>
      <c r="L33" s="22"/>
      <c r="M33" s="22"/>
      <c r="N33" s="22"/>
      <c r="O33" s="22"/>
    </row>
    <row r="34" spans="2:15" ht="14.5" customHeight="1" x14ac:dyDescent="0.35">
      <c r="B34" s="12" t="s">
        <v>227</v>
      </c>
      <c r="E34" s="22">
        <f>E17-E31</f>
        <v>0</v>
      </c>
      <c r="F34" s="22">
        <f t="shared" ref="F34:O34" si="9">F17-F31</f>
        <v>-1014400</v>
      </c>
      <c r="G34" s="22">
        <f t="shared" si="9"/>
        <v>-709507.33718500007</v>
      </c>
      <c r="H34" s="22">
        <f t="shared" si="9"/>
        <v>-61588.956305627245</v>
      </c>
      <c r="I34" s="22">
        <f t="shared" si="9"/>
        <v>41163.647409950616</v>
      </c>
      <c r="J34" s="22">
        <f t="shared" si="9"/>
        <v>127364.44802983943</v>
      </c>
      <c r="K34" s="22">
        <f t="shared" si="9"/>
        <v>236606.77708336362</v>
      </c>
      <c r="L34" s="22">
        <f t="shared" si="9"/>
        <v>311810.56252709904</v>
      </c>
      <c r="M34" s="22">
        <f t="shared" si="9"/>
        <v>396216.98666058318</v>
      </c>
      <c r="N34" s="22">
        <f t="shared" si="9"/>
        <v>468988.32596343604</v>
      </c>
      <c r="O34" s="22">
        <f t="shared" si="9"/>
        <v>17014403.568511702</v>
      </c>
    </row>
    <row r="35" spans="2:15" ht="14.5" customHeight="1" x14ac:dyDescent="0.35">
      <c r="E35" s="22"/>
      <c r="F35" s="22"/>
      <c r="G35" s="22"/>
      <c r="H35" s="22"/>
      <c r="I35" s="22"/>
      <c r="J35" s="22"/>
      <c r="K35" s="22"/>
      <c r="L35" s="22"/>
      <c r="M35" s="22"/>
      <c r="N35" s="22"/>
      <c r="O35" s="22"/>
    </row>
    <row r="36" spans="2:15" ht="14.5" customHeight="1" x14ac:dyDescent="0.35">
      <c r="B36" s="12" t="s">
        <v>228</v>
      </c>
      <c r="C36" s="22">
        <f>C38-C37</f>
        <v>0</v>
      </c>
      <c r="E36" s="22"/>
      <c r="F36" s="22"/>
      <c r="G36" s="22"/>
      <c r="H36" s="22"/>
      <c r="I36" s="22"/>
      <c r="J36" s="22"/>
      <c r="K36" s="22"/>
      <c r="L36" s="22"/>
      <c r="M36" s="22"/>
      <c r="N36" s="22"/>
      <c r="O36" s="22"/>
    </row>
    <row r="37" spans="2:15" ht="14.5" customHeight="1" x14ac:dyDescent="0.35">
      <c r="B37" s="12" t="s">
        <v>229</v>
      </c>
      <c r="C37" s="22">
        <f>C38*C9</f>
        <v>2340111.9866518024</v>
      </c>
      <c r="E37" s="28"/>
      <c r="F37" s="22"/>
      <c r="G37" s="22"/>
      <c r="H37" s="22"/>
      <c r="I37" s="22"/>
      <c r="J37" s="22"/>
      <c r="K37" s="22"/>
      <c r="L37" s="22"/>
      <c r="M37" s="22"/>
      <c r="N37" s="22"/>
      <c r="O37" s="22"/>
    </row>
    <row r="38" spans="2:15" ht="14.5" customHeight="1" x14ac:dyDescent="0.35">
      <c r="B38" s="12" t="s">
        <v>230</v>
      </c>
      <c r="C38" s="265">
        <f>IFERROR(SUM(E30:O30)*C7/(C9-C7), 0)</f>
        <v>2340111.9866518024</v>
      </c>
      <c r="E38" s="22"/>
      <c r="F38" s="22"/>
      <c r="G38" s="22"/>
      <c r="H38" s="22"/>
      <c r="I38" s="22"/>
      <c r="J38" s="22"/>
      <c r="K38" s="22"/>
      <c r="L38" s="22"/>
      <c r="M38" s="22"/>
      <c r="N38" s="22"/>
      <c r="O38" s="22"/>
    </row>
    <row r="39" spans="2:15" ht="14.5" customHeight="1" x14ac:dyDescent="0.35">
      <c r="E39" s="22"/>
      <c r="F39" s="22"/>
      <c r="G39" s="22"/>
      <c r="H39" s="22"/>
      <c r="I39" s="22"/>
      <c r="J39" s="22"/>
      <c r="K39" s="22"/>
      <c r="L39" s="22"/>
      <c r="M39" s="22"/>
      <c r="N39" s="22"/>
      <c r="O39" s="22"/>
    </row>
    <row r="40" spans="2:15" ht="14.5" customHeight="1" x14ac:dyDescent="0.35">
      <c r="B40" s="12" t="s">
        <v>231</v>
      </c>
      <c r="E40" s="261"/>
      <c r="F40" s="22">
        <f>MAX(MIN(F34*(1-$C$9), $C$36)-SUM($E40:E40), 0)</f>
        <v>0</v>
      </c>
      <c r="G40" s="22">
        <f>MAX(MIN(G34*(1-$C$9), $C$36)-SUM($E40:F40), 0)</f>
        <v>0</v>
      </c>
      <c r="H40" s="22">
        <f>MAX(MIN(H34*(1-$C$9), $C$36)-SUM($E40:G40), 0)</f>
        <v>0</v>
      </c>
      <c r="I40" s="22">
        <f>MAX(MIN(I34*(1-$C$9), $C$36)-SUM($E40:H40), 0)</f>
        <v>0</v>
      </c>
      <c r="J40" s="22">
        <f>MAX(MIN(J34*(1-$C$9), $C$36)-SUM($E40:I40), 0)</f>
        <v>0</v>
      </c>
      <c r="K40" s="22">
        <f>MAX(MIN(K34*(1-$C$9), $C$36)-SUM($E40:J40), 0)</f>
        <v>0</v>
      </c>
      <c r="L40" s="22">
        <f>MAX(MIN(L34*(1-$C$9), $C$36)-SUM($E40:K40), 0)</f>
        <v>0</v>
      </c>
      <c r="M40" s="22">
        <f>MAX(MIN(M34*(1-$C$9), $C$36)-SUM($E40:L40), 0)</f>
        <v>0</v>
      </c>
      <c r="N40" s="22">
        <f>MAX(MIN(N34*(1-$C$9), $C$36)-SUM($E40:M40), 0)</f>
        <v>0</v>
      </c>
      <c r="O40" s="22">
        <f>MAX(MIN(O34*(1-$C$9), $C$36)-SUM($E40:N40), 0)</f>
        <v>0</v>
      </c>
    </row>
    <row r="41" spans="2:15" ht="14.5" customHeight="1" x14ac:dyDescent="0.35">
      <c r="B41" s="12" t="s">
        <v>232</v>
      </c>
      <c r="E41" s="261"/>
      <c r="F41" s="22">
        <f>MAX(MIN(F34*$C$9, $C$37)-SUM($E41:E41), 0)</f>
        <v>0</v>
      </c>
      <c r="G41" s="22">
        <f>MAX(MIN(G34*$C$9, $C$37)-SUM($E41:F41), 0)</f>
        <v>0</v>
      </c>
      <c r="H41" s="22">
        <f>MAX(MIN(H34*$C$9, $C$37)-SUM($E41:G41), 0)</f>
        <v>0</v>
      </c>
      <c r="I41" s="22">
        <f>MAX(MIN(I34*$C$9, $C$37)-SUM($E41:H41), 0)</f>
        <v>41163.647409950616</v>
      </c>
      <c r="J41" s="22">
        <f>MAX(MIN(J34*$C$9, $C$37)-SUM($E41:I41), 0)</f>
        <v>86200.800619888818</v>
      </c>
      <c r="K41" s="22">
        <f>MAX(MIN(K34*$C$9, $C$37)-SUM($E41:J41), 0)</f>
        <v>109242.32905352418</v>
      </c>
      <c r="L41" s="22">
        <f>MAX(MIN(L34*$C$9, $C$37)-SUM($E41:K41), 0)</f>
        <v>75203.785443735425</v>
      </c>
      <c r="M41" s="22">
        <f>MAX(MIN(M34*$C$9, $C$37)-SUM($E41:L41), 0)</f>
        <v>84406.424133484135</v>
      </c>
      <c r="N41" s="22">
        <f>MAX(MIN(N34*$C$9, $C$37)-SUM($E41:M41), 0)</f>
        <v>72771.339302852866</v>
      </c>
      <c r="O41" s="22">
        <f>MAX(MIN(O34*$C$9, $C$37)-SUM($E41:N41), 0)</f>
        <v>1871123.6606883663</v>
      </c>
    </row>
    <row r="42" spans="2:15" ht="14.5" customHeight="1" x14ac:dyDescent="0.35">
      <c r="B42" s="12" t="s">
        <v>233</v>
      </c>
      <c r="E42" s="261"/>
      <c r="F42" s="265">
        <f>SUM(F40:F41)</f>
        <v>0</v>
      </c>
      <c r="G42" s="265">
        <f t="shared" ref="G42:O42" si="10">SUM(G40:G41)</f>
        <v>0</v>
      </c>
      <c r="H42" s="265">
        <f t="shared" si="10"/>
        <v>0</v>
      </c>
      <c r="I42" s="265">
        <f t="shared" si="10"/>
        <v>41163.647409950616</v>
      </c>
      <c r="J42" s="265">
        <f t="shared" si="10"/>
        <v>86200.800619888818</v>
      </c>
      <c r="K42" s="265">
        <f t="shared" si="10"/>
        <v>109242.32905352418</v>
      </c>
      <c r="L42" s="265">
        <f t="shared" si="10"/>
        <v>75203.785443735425</v>
      </c>
      <c r="M42" s="265">
        <f t="shared" si="10"/>
        <v>84406.424133484135</v>
      </c>
      <c r="N42" s="265">
        <f t="shared" si="10"/>
        <v>72771.339302852866</v>
      </c>
      <c r="O42" s="265">
        <f t="shared" si="10"/>
        <v>1871123.6606883663</v>
      </c>
    </row>
    <row r="43" spans="2:15" ht="14.5" customHeight="1" x14ac:dyDescent="0.35">
      <c r="E43" s="22"/>
      <c r="F43" s="22"/>
      <c r="G43" s="22"/>
      <c r="H43" s="22"/>
      <c r="I43" s="22"/>
      <c r="J43" s="22"/>
      <c r="K43" s="22"/>
      <c r="L43" s="22"/>
      <c r="M43" s="22"/>
      <c r="N43" s="22"/>
      <c r="O43" s="22"/>
    </row>
    <row r="44" spans="2:15" ht="14.5" customHeight="1" x14ac:dyDescent="0.35">
      <c r="B44" s="12" t="s">
        <v>234</v>
      </c>
      <c r="E44" s="22">
        <f>E34-E42</f>
        <v>0</v>
      </c>
      <c r="F44" s="22">
        <f t="shared" ref="F44:O44" si="11">F34-F42</f>
        <v>-1014400</v>
      </c>
      <c r="G44" s="22">
        <f t="shared" si="11"/>
        <v>-709507.33718500007</v>
      </c>
      <c r="H44" s="22">
        <f t="shared" si="11"/>
        <v>-61588.956305627245</v>
      </c>
      <c r="I44" s="22">
        <f t="shared" si="11"/>
        <v>0</v>
      </c>
      <c r="J44" s="22">
        <f t="shared" si="11"/>
        <v>41163.647409950616</v>
      </c>
      <c r="K44" s="22">
        <f t="shared" si="11"/>
        <v>127364.44802983943</v>
      </c>
      <c r="L44" s="22">
        <f t="shared" si="11"/>
        <v>236606.77708336362</v>
      </c>
      <c r="M44" s="22">
        <f t="shared" si="11"/>
        <v>311810.56252709904</v>
      </c>
      <c r="N44" s="22">
        <f t="shared" si="11"/>
        <v>396216.98666058318</v>
      </c>
      <c r="O44" s="22">
        <f t="shared" si="11"/>
        <v>15143279.907823335</v>
      </c>
    </row>
    <row r="45" spans="2:15" ht="14.5" customHeight="1" x14ac:dyDescent="0.35">
      <c r="E45" s="22"/>
      <c r="F45" s="22"/>
      <c r="G45" s="22"/>
      <c r="H45" s="22"/>
      <c r="I45" s="22"/>
      <c r="J45" s="22"/>
      <c r="K45" s="22"/>
      <c r="L45" s="22"/>
      <c r="M45" s="22"/>
      <c r="N45" s="22"/>
      <c r="O45" s="22"/>
    </row>
    <row r="46" spans="2:15" ht="14.5" customHeight="1" x14ac:dyDescent="0.35">
      <c r="B46" s="12" t="s">
        <v>231</v>
      </c>
      <c r="E46" s="261"/>
      <c r="F46" s="22">
        <f>F44*$C$6</f>
        <v>-811520</v>
      </c>
      <c r="G46" s="22">
        <f t="shared" ref="G46:O46" si="12">G44*$C$6</f>
        <v>-567605.86974800006</v>
      </c>
      <c r="H46" s="22">
        <f t="shared" si="12"/>
        <v>-49271.165044501802</v>
      </c>
      <c r="I46" s="22">
        <f t="shared" si="12"/>
        <v>0</v>
      </c>
      <c r="J46" s="22">
        <f t="shared" si="12"/>
        <v>32930.917927960494</v>
      </c>
      <c r="K46" s="22">
        <f t="shared" si="12"/>
        <v>101891.55842387155</v>
      </c>
      <c r="L46" s="22">
        <f t="shared" si="12"/>
        <v>189285.42166669091</v>
      </c>
      <c r="M46" s="22">
        <f t="shared" si="12"/>
        <v>249448.45002167925</v>
      </c>
      <c r="N46" s="22">
        <f t="shared" si="12"/>
        <v>316973.58932846657</v>
      </c>
      <c r="O46" s="22">
        <f t="shared" si="12"/>
        <v>12114623.926258668</v>
      </c>
    </row>
    <row r="47" spans="2:15" ht="14.5" customHeight="1" x14ac:dyDescent="0.35">
      <c r="B47" s="12" t="s">
        <v>232</v>
      </c>
      <c r="E47" s="261"/>
      <c r="F47" s="22">
        <f>F44*$C$7</f>
        <v>-202879.99999999994</v>
      </c>
      <c r="G47" s="22">
        <f t="shared" ref="G47:O47" si="13">G44*$C$7</f>
        <v>-141901.46743699998</v>
      </c>
      <c r="H47" s="22">
        <f t="shared" si="13"/>
        <v>-12317.791261125447</v>
      </c>
      <c r="I47" s="22">
        <f t="shared" si="13"/>
        <v>0</v>
      </c>
      <c r="J47" s="22">
        <f t="shared" si="13"/>
        <v>8232.7294819901217</v>
      </c>
      <c r="K47" s="22">
        <f t="shared" si="13"/>
        <v>25472.889605967881</v>
      </c>
      <c r="L47" s="22">
        <f t="shared" si="13"/>
        <v>47321.355416672712</v>
      </c>
      <c r="M47" s="22">
        <f t="shared" si="13"/>
        <v>62362.112505419791</v>
      </c>
      <c r="N47" s="22">
        <f t="shared" si="13"/>
        <v>79243.397332116612</v>
      </c>
      <c r="O47" s="22">
        <f t="shared" si="13"/>
        <v>3028655.9815646666</v>
      </c>
    </row>
    <row r="48" spans="2:15" ht="14.5" customHeight="1" x14ac:dyDescent="0.35">
      <c r="B48" s="12" t="s">
        <v>233</v>
      </c>
      <c r="E48" s="261"/>
      <c r="F48" s="265">
        <f>SUM(F46:F47)</f>
        <v>-1014400</v>
      </c>
      <c r="G48" s="265">
        <f t="shared" ref="G48:O48" si="14">SUM(G46:G47)</f>
        <v>-709507.33718500007</v>
      </c>
      <c r="H48" s="265">
        <f t="shared" si="14"/>
        <v>-61588.956305627245</v>
      </c>
      <c r="I48" s="265">
        <f t="shared" si="14"/>
        <v>0</v>
      </c>
      <c r="J48" s="265">
        <f t="shared" si="14"/>
        <v>41163.647409950616</v>
      </c>
      <c r="K48" s="265">
        <f t="shared" si="14"/>
        <v>127364.44802983943</v>
      </c>
      <c r="L48" s="265">
        <f t="shared" si="14"/>
        <v>236606.77708336362</v>
      </c>
      <c r="M48" s="265">
        <f t="shared" si="14"/>
        <v>311810.56252709904</v>
      </c>
      <c r="N48" s="265">
        <f t="shared" si="14"/>
        <v>396216.98666058318</v>
      </c>
      <c r="O48" s="265">
        <f t="shared" si="14"/>
        <v>15143279.907823335</v>
      </c>
    </row>
    <row r="49" spans="1:18" ht="14.5" customHeight="1" x14ac:dyDescent="0.35">
      <c r="E49" s="22"/>
      <c r="F49" s="22"/>
      <c r="G49" s="22"/>
      <c r="H49" s="22"/>
      <c r="I49" s="22"/>
      <c r="J49" s="22"/>
      <c r="K49" s="22"/>
      <c r="L49" s="22"/>
      <c r="M49" s="22"/>
      <c r="N49" s="22"/>
      <c r="O49" s="22"/>
    </row>
    <row r="50" spans="1:18" ht="14.5" customHeight="1" x14ac:dyDescent="0.35">
      <c r="B50" s="12" t="s">
        <v>235</v>
      </c>
      <c r="E50" s="22">
        <f>E31+E40+E46</f>
        <v>-12680000</v>
      </c>
      <c r="F50" s="22">
        <f t="shared" ref="F50:O50" si="15">F31+F40+F46</f>
        <v>485188.02112499997</v>
      </c>
      <c r="G50" s="22">
        <f t="shared" si="15"/>
        <v>1024133.91530216</v>
      </c>
      <c r="H50" s="22">
        <f t="shared" si="15"/>
        <v>1069507.0949924581</v>
      </c>
      <c r="I50" s="22">
        <f t="shared" si="15"/>
        <v>929824.85570149333</v>
      </c>
      <c r="J50" s="22">
        <f t="shared" si="15"/>
        <v>1063906.0783086428</v>
      </c>
      <c r="K50" s="22">
        <f t="shared" si="15"/>
        <v>1093257.5244211552</v>
      </c>
      <c r="L50" s="22">
        <f t="shared" si="15"/>
        <v>1183601.6986401319</v>
      </c>
      <c r="M50" s="22">
        <f t="shared" si="15"/>
        <v>1226739.1725864997</v>
      </c>
      <c r="N50" s="22">
        <f t="shared" si="15"/>
        <v>1297519.9541049225</v>
      </c>
      <c r="O50" s="22">
        <f t="shared" si="15"/>
        <v>24243526.460259587</v>
      </c>
    </row>
    <row r="51" spans="1:18" ht="14.5" customHeight="1" x14ac:dyDescent="0.35">
      <c r="B51" s="12" t="s">
        <v>236</v>
      </c>
      <c r="E51" s="22">
        <f>E41+E47</f>
        <v>0</v>
      </c>
      <c r="F51" s="22">
        <f t="shared" ref="F51:O51" si="16">F41+F47</f>
        <v>-202879.99999999994</v>
      </c>
      <c r="G51" s="22">
        <f t="shared" si="16"/>
        <v>-141901.46743699998</v>
      </c>
      <c r="H51" s="22">
        <f t="shared" si="16"/>
        <v>-12317.791261125447</v>
      </c>
      <c r="I51" s="22">
        <f t="shared" si="16"/>
        <v>41163.647409950616</v>
      </c>
      <c r="J51" s="22">
        <f t="shared" si="16"/>
        <v>94433.530101878947</v>
      </c>
      <c r="K51" s="22">
        <f t="shared" si="16"/>
        <v>134715.21865949206</v>
      </c>
      <c r="L51" s="22">
        <f t="shared" si="16"/>
        <v>122525.14086040814</v>
      </c>
      <c r="M51" s="22">
        <f t="shared" si="16"/>
        <v>146768.53663890393</v>
      </c>
      <c r="N51" s="22">
        <f t="shared" si="16"/>
        <v>152014.73663496948</v>
      </c>
      <c r="O51" s="22">
        <f t="shared" si="16"/>
        <v>4899779.6422530329</v>
      </c>
    </row>
    <row r="52" spans="1:18" ht="14.5" customHeight="1" x14ac:dyDescent="0.35">
      <c r="B52" s="12" t="s">
        <v>237</v>
      </c>
      <c r="E52" s="265">
        <f>SUM(E50:E51)</f>
        <v>-12680000</v>
      </c>
      <c r="F52" s="265">
        <f t="shared" ref="F52:O52" si="17">SUM(F50:F51)</f>
        <v>282308.02112500003</v>
      </c>
      <c r="G52" s="265">
        <f t="shared" si="17"/>
        <v>882232.44786515995</v>
      </c>
      <c r="H52" s="265">
        <f t="shared" si="17"/>
        <v>1057189.3037313328</v>
      </c>
      <c r="I52" s="265">
        <f t="shared" si="17"/>
        <v>970988.50311144395</v>
      </c>
      <c r="J52" s="265">
        <f t="shared" si="17"/>
        <v>1158339.6084105219</v>
      </c>
      <c r="K52" s="265">
        <f t="shared" si="17"/>
        <v>1227972.7430806472</v>
      </c>
      <c r="L52" s="265">
        <f t="shared" si="17"/>
        <v>1306126.8395005399</v>
      </c>
      <c r="M52" s="265">
        <f t="shared" si="17"/>
        <v>1373507.7092254036</v>
      </c>
      <c r="N52" s="265">
        <f t="shared" si="17"/>
        <v>1449534.690739892</v>
      </c>
      <c r="O52" s="265">
        <f t="shared" si="17"/>
        <v>29143306.10251262</v>
      </c>
    </row>
    <row r="53" spans="1:18" x14ac:dyDescent="0.35">
      <c r="E53" s="24"/>
      <c r="F53" s="24"/>
      <c r="G53" s="24"/>
      <c r="H53" s="24"/>
      <c r="I53" s="24"/>
      <c r="J53" s="24"/>
      <c r="K53" s="24"/>
      <c r="L53" s="24"/>
      <c r="M53" s="24"/>
      <c r="N53" s="24"/>
      <c r="O53" s="24"/>
      <c r="P53" s="24"/>
      <c r="Q53" s="24"/>
      <c r="R53" s="24"/>
    </row>
    <row r="54" spans="1:18" x14ac:dyDescent="0.35">
      <c r="B54" s="199" t="s">
        <v>198</v>
      </c>
      <c r="C54" s="199"/>
      <c r="D54" s="199"/>
      <c r="E54" s="200"/>
      <c r="F54" s="200"/>
      <c r="G54" s="200"/>
      <c r="H54" s="200"/>
      <c r="I54" s="200"/>
      <c r="J54" s="200"/>
      <c r="K54" s="200"/>
      <c r="L54" s="200"/>
      <c r="M54" s="200"/>
      <c r="N54" s="200"/>
      <c r="O54" s="200"/>
      <c r="P54" s="24"/>
      <c r="Q54" s="24"/>
      <c r="R54" s="24"/>
    </row>
    <row r="55" spans="1:18" x14ac:dyDescent="0.35">
      <c r="B55" s="12" t="s">
        <v>199</v>
      </c>
      <c r="C55" s="28" cm="1">
        <f t="array" ref="C55">XIRR(E55:O55,$E$15:$O$15,SUM(SIGN(E55:O55))*0.1)</f>
        <v>0.12417907901108266</v>
      </c>
      <c r="E55" s="23">
        <f>E31+E40+E46</f>
        <v>-12680000</v>
      </c>
      <c r="F55" s="23">
        <f t="shared" ref="F55:O55" si="18">F31+F40+F46</f>
        <v>485188.02112499997</v>
      </c>
      <c r="G55" s="23">
        <f t="shared" si="18"/>
        <v>1024133.91530216</v>
      </c>
      <c r="H55" s="23">
        <f t="shared" si="18"/>
        <v>1069507.0949924581</v>
      </c>
      <c r="I55" s="23">
        <f t="shared" si="18"/>
        <v>929824.85570149333</v>
      </c>
      <c r="J55" s="23">
        <f t="shared" si="18"/>
        <v>1063906.0783086428</v>
      </c>
      <c r="K55" s="23">
        <f t="shared" si="18"/>
        <v>1093257.5244211552</v>
      </c>
      <c r="L55" s="23">
        <f t="shared" si="18"/>
        <v>1183601.6986401319</v>
      </c>
      <c r="M55" s="23">
        <f t="shared" si="18"/>
        <v>1226739.1725864997</v>
      </c>
      <c r="N55" s="23">
        <f t="shared" si="18"/>
        <v>1297519.9541049225</v>
      </c>
      <c r="O55" s="23">
        <f t="shared" si="18"/>
        <v>24243526.460259587</v>
      </c>
      <c r="P55" s="24"/>
      <c r="Q55" s="24"/>
      <c r="R55" s="24"/>
    </row>
    <row r="56" spans="1:18" x14ac:dyDescent="0.35">
      <c r="A56" s="263">
        <f>SUM(E51:O51)/SUM(E52:O52)</f>
        <v>0.1999999999999999</v>
      </c>
      <c r="B56" s="12" t="s">
        <v>200</v>
      </c>
      <c r="C56" s="28"/>
      <c r="E56" s="23">
        <v>-9.9999999999999995E-7</v>
      </c>
      <c r="F56" s="23">
        <f t="shared" ref="F56:O56" si="19">F41+F47</f>
        <v>-202879.99999999994</v>
      </c>
      <c r="G56" s="23">
        <f t="shared" si="19"/>
        <v>-141901.46743699998</v>
      </c>
      <c r="H56" s="23">
        <f t="shared" si="19"/>
        <v>-12317.791261125447</v>
      </c>
      <c r="I56" s="23">
        <f t="shared" si="19"/>
        <v>41163.647409950616</v>
      </c>
      <c r="J56" s="23">
        <f t="shared" si="19"/>
        <v>94433.530101878947</v>
      </c>
      <c r="K56" s="23">
        <f t="shared" si="19"/>
        <v>134715.21865949206</v>
      </c>
      <c r="L56" s="23">
        <f t="shared" si="19"/>
        <v>122525.14086040814</v>
      </c>
      <c r="M56" s="23">
        <f t="shared" si="19"/>
        <v>146768.53663890393</v>
      </c>
      <c r="N56" s="23">
        <f t="shared" si="19"/>
        <v>152014.73663496948</v>
      </c>
      <c r="O56" s="23">
        <f t="shared" si="19"/>
        <v>4899779.6422530329</v>
      </c>
      <c r="P56" s="24"/>
      <c r="Q56" s="24"/>
      <c r="R56" s="24"/>
    </row>
    <row r="57" spans="1:18" x14ac:dyDescent="0.35">
      <c r="E57" s="24"/>
      <c r="F57" s="24"/>
      <c r="G57" s="24"/>
      <c r="H57" s="24"/>
      <c r="I57" s="24"/>
      <c r="J57" s="24"/>
      <c r="K57" s="24"/>
      <c r="L57" s="24"/>
      <c r="M57" s="24"/>
      <c r="N57" s="24"/>
      <c r="O57" s="24"/>
      <c r="P57" s="24"/>
      <c r="Q57" s="24"/>
      <c r="R57" s="24"/>
    </row>
    <row r="58" spans="1:18" x14ac:dyDescent="0.35">
      <c r="E58" s="24"/>
      <c r="F58" s="24"/>
      <c r="G58" s="24"/>
      <c r="H58" s="24"/>
      <c r="I58" s="24"/>
      <c r="J58" s="24"/>
      <c r="K58" s="24"/>
      <c r="L58" s="24"/>
      <c r="M58" s="24"/>
      <c r="N58" s="24"/>
      <c r="O58" s="24"/>
      <c r="P58" s="24"/>
      <c r="Q58" s="24"/>
      <c r="R58" s="24"/>
    </row>
    <row r="59" spans="1:18" x14ac:dyDescent="0.35">
      <c r="E59" s="24"/>
      <c r="F59" s="24"/>
      <c r="G59" s="24"/>
      <c r="H59" s="24"/>
      <c r="I59" s="24"/>
      <c r="J59" s="24"/>
      <c r="K59" s="24"/>
      <c r="L59" s="24"/>
      <c r="M59" s="24"/>
      <c r="N59" s="24"/>
      <c r="O59" s="24"/>
      <c r="P59" s="24"/>
      <c r="Q59" s="24"/>
      <c r="R59" s="24"/>
    </row>
    <row r="60" spans="1:18" x14ac:dyDescent="0.35">
      <c r="E60" s="24"/>
      <c r="F60" s="24"/>
      <c r="G60" s="24"/>
      <c r="H60" s="24"/>
      <c r="I60" s="24"/>
      <c r="J60" s="24"/>
      <c r="K60" s="24"/>
      <c r="L60" s="24"/>
      <c r="M60" s="24"/>
      <c r="N60" s="24"/>
      <c r="O60" s="24"/>
      <c r="P60" s="24"/>
      <c r="Q60" s="24"/>
      <c r="R60" s="24"/>
    </row>
    <row r="61" spans="1:18" x14ac:dyDescent="0.35">
      <c r="E61" s="24"/>
      <c r="F61" s="24"/>
      <c r="G61" s="24"/>
      <c r="H61" s="24"/>
      <c r="I61" s="24"/>
      <c r="J61" s="24"/>
      <c r="K61" s="24"/>
      <c r="L61" s="24"/>
      <c r="M61" s="24"/>
      <c r="N61" s="24"/>
      <c r="O61" s="24"/>
      <c r="P61" s="24"/>
      <c r="Q61" s="24"/>
      <c r="R61" s="24"/>
    </row>
    <row r="62" spans="1:18" x14ac:dyDescent="0.35">
      <c r="E62" s="24"/>
      <c r="F62" s="24"/>
      <c r="G62" s="24"/>
      <c r="H62" s="24"/>
      <c r="I62" s="24"/>
      <c r="J62" s="24"/>
      <c r="K62" s="24"/>
      <c r="L62" s="24"/>
      <c r="M62" s="24"/>
      <c r="N62" s="24"/>
      <c r="O62" s="24"/>
      <c r="P62" s="24"/>
      <c r="Q62" s="24"/>
      <c r="R62" s="24"/>
    </row>
    <row r="63" spans="1:18" x14ac:dyDescent="0.35">
      <c r="E63" s="24"/>
      <c r="F63" s="24"/>
      <c r="G63" s="24"/>
      <c r="H63" s="24"/>
      <c r="I63" s="24"/>
      <c r="J63" s="24"/>
      <c r="K63" s="24"/>
      <c r="L63" s="24"/>
      <c r="M63" s="24"/>
      <c r="N63" s="24"/>
      <c r="O63" s="24"/>
      <c r="P63" s="24"/>
      <c r="Q63" s="24"/>
      <c r="R63" s="24"/>
    </row>
    <row r="64" spans="1:18" x14ac:dyDescent="0.35">
      <c r="E64" s="24"/>
      <c r="F64" s="24"/>
      <c r="G64" s="24"/>
      <c r="H64" s="24"/>
      <c r="I64" s="24"/>
      <c r="J64" s="24"/>
      <c r="K64" s="24"/>
      <c r="L64" s="24"/>
      <c r="M64" s="24"/>
      <c r="N64" s="24"/>
      <c r="O64" s="24"/>
      <c r="P64" s="24"/>
      <c r="Q64" s="24"/>
      <c r="R64" s="24"/>
    </row>
    <row r="65" spans="5:18" x14ac:dyDescent="0.35">
      <c r="E65" s="24"/>
      <c r="F65" s="24"/>
      <c r="G65" s="24"/>
      <c r="H65" s="24"/>
      <c r="I65" s="24"/>
      <c r="J65" s="24"/>
      <c r="K65" s="24"/>
      <c r="L65" s="24"/>
      <c r="M65" s="24"/>
      <c r="N65" s="24"/>
      <c r="O65" s="24"/>
      <c r="P65" s="24"/>
      <c r="Q65" s="24"/>
      <c r="R65" s="24"/>
    </row>
    <row r="66" spans="5:18" x14ac:dyDescent="0.35">
      <c r="E66" s="24"/>
      <c r="F66" s="24"/>
      <c r="G66" s="24"/>
      <c r="H66" s="24"/>
      <c r="I66" s="24"/>
      <c r="J66" s="24"/>
      <c r="K66" s="24"/>
      <c r="L66" s="24"/>
      <c r="M66" s="24"/>
      <c r="N66" s="24"/>
      <c r="O66" s="24"/>
      <c r="P66" s="24"/>
      <c r="Q66" s="24"/>
      <c r="R66" s="24"/>
    </row>
    <row r="67" spans="5:18" x14ac:dyDescent="0.35">
      <c r="E67" s="24"/>
      <c r="F67" s="24"/>
      <c r="G67" s="24"/>
      <c r="H67" s="24"/>
      <c r="I67" s="24"/>
      <c r="J67" s="24"/>
      <c r="K67" s="24"/>
      <c r="L67" s="24"/>
      <c r="M67" s="24"/>
      <c r="N67" s="24"/>
      <c r="O67" s="24"/>
      <c r="P67" s="24"/>
      <c r="Q67" s="24"/>
      <c r="R67" s="24"/>
    </row>
    <row r="68" spans="5:18" x14ac:dyDescent="0.35">
      <c r="E68" s="24"/>
      <c r="F68" s="24"/>
      <c r="G68" s="24"/>
      <c r="H68" s="24"/>
      <c r="I68" s="24"/>
      <c r="J68" s="24"/>
      <c r="K68" s="24"/>
      <c r="L68" s="24"/>
      <c r="M68" s="24"/>
      <c r="N68" s="24"/>
      <c r="O68" s="24"/>
      <c r="P68" s="24"/>
      <c r="Q68" s="24"/>
      <c r="R68" s="24"/>
    </row>
    <row r="69" spans="5:18" x14ac:dyDescent="0.35">
      <c r="E69" s="24"/>
      <c r="F69" s="24"/>
      <c r="G69" s="24"/>
      <c r="H69" s="24"/>
      <c r="I69" s="24"/>
      <c r="J69" s="24"/>
      <c r="K69" s="24"/>
      <c r="L69" s="24"/>
      <c r="M69" s="24"/>
      <c r="N69" s="24"/>
      <c r="O69" s="24"/>
      <c r="P69" s="24"/>
      <c r="Q69" s="24"/>
      <c r="R69" s="24"/>
    </row>
    <row r="70" spans="5:18" x14ac:dyDescent="0.35">
      <c r="E70" s="24"/>
      <c r="F70" s="24"/>
      <c r="G70" s="24"/>
      <c r="H70" s="24"/>
      <c r="I70" s="24"/>
      <c r="J70" s="24"/>
      <c r="K70" s="24"/>
      <c r="L70" s="24"/>
      <c r="M70" s="24"/>
      <c r="N70" s="24"/>
      <c r="O70" s="24"/>
      <c r="P70" s="24"/>
      <c r="Q70" s="24"/>
      <c r="R70" s="24"/>
    </row>
    <row r="71" spans="5:18" x14ac:dyDescent="0.35">
      <c r="E71" s="24"/>
      <c r="F71" s="24"/>
      <c r="G71" s="24"/>
      <c r="H71" s="24"/>
      <c r="I71" s="24"/>
      <c r="J71" s="24"/>
      <c r="K71" s="24"/>
      <c r="L71" s="24"/>
      <c r="M71" s="24"/>
      <c r="N71" s="24"/>
      <c r="O71" s="24"/>
      <c r="P71" s="24"/>
      <c r="Q71" s="24"/>
      <c r="R71" s="24"/>
    </row>
    <row r="72" spans="5:18" x14ac:dyDescent="0.35">
      <c r="E72" s="24"/>
      <c r="F72" s="24"/>
      <c r="G72" s="24"/>
      <c r="H72" s="24"/>
      <c r="I72" s="24"/>
      <c r="J72" s="24"/>
      <c r="K72" s="24"/>
      <c r="L72" s="24"/>
      <c r="M72" s="24"/>
      <c r="N72" s="24"/>
      <c r="O72" s="24"/>
      <c r="P72" s="24"/>
      <c r="Q72" s="24"/>
      <c r="R72" s="24"/>
    </row>
    <row r="73" spans="5:18" x14ac:dyDescent="0.35">
      <c r="E73" s="24"/>
      <c r="F73" s="24"/>
      <c r="G73" s="24"/>
      <c r="H73" s="24"/>
      <c r="I73" s="24"/>
      <c r="J73" s="24"/>
      <c r="K73" s="24"/>
      <c r="L73" s="24"/>
      <c r="M73" s="24"/>
      <c r="N73" s="24"/>
      <c r="O73" s="24"/>
      <c r="P73" s="24"/>
      <c r="Q73" s="24"/>
      <c r="R73" s="24"/>
    </row>
    <row r="74" spans="5:18" x14ac:dyDescent="0.35">
      <c r="E74" s="24"/>
      <c r="F74" s="24"/>
      <c r="G74" s="24"/>
      <c r="H74" s="24"/>
      <c r="I74" s="24"/>
      <c r="J74" s="24"/>
      <c r="K74" s="24"/>
      <c r="L74" s="24"/>
      <c r="M74" s="24"/>
      <c r="N74" s="24"/>
      <c r="O74" s="24"/>
      <c r="P74" s="24"/>
      <c r="Q74" s="24"/>
      <c r="R74" s="24"/>
    </row>
    <row r="75" spans="5:18" x14ac:dyDescent="0.35">
      <c r="E75" s="24"/>
      <c r="F75" s="24"/>
      <c r="G75" s="24"/>
      <c r="H75" s="24"/>
      <c r="I75" s="24"/>
      <c r="J75" s="24"/>
      <c r="K75" s="24"/>
      <c r="L75" s="24"/>
      <c r="M75" s="24"/>
      <c r="N75" s="24"/>
      <c r="O75" s="24"/>
      <c r="P75" s="24"/>
      <c r="Q75" s="24"/>
      <c r="R75" s="24"/>
    </row>
    <row r="76" spans="5:18" x14ac:dyDescent="0.35">
      <c r="E76" s="24"/>
      <c r="F76" s="24"/>
      <c r="G76" s="24"/>
      <c r="H76" s="24"/>
      <c r="I76" s="24"/>
      <c r="J76" s="24"/>
      <c r="K76" s="24"/>
      <c r="L76" s="24"/>
      <c r="M76" s="24"/>
      <c r="N76" s="24"/>
      <c r="O76" s="24"/>
      <c r="P76" s="24"/>
      <c r="Q76" s="24"/>
      <c r="R76" s="24"/>
    </row>
    <row r="77" spans="5:18" x14ac:dyDescent="0.35">
      <c r="E77" s="24"/>
      <c r="F77" s="24"/>
      <c r="G77" s="24"/>
      <c r="H77" s="24"/>
      <c r="I77" s="24"/>
      <c r="J77" s="24"/>
      <c r="K77" s="24"/>
      <c r="L77" s="24"/>
      <c r="M77" s="24"/>
      <c r="N77" s="24"/>
      <c r="O77" s="24"/>
      <c r="P77" s="24"/>
      <c r="Q77" s="24"/>
      <c r="R77" s="24"/>
    </row>
    <row r="78" spans="5:18" x14ac:dyDescent="0.35">
      <c r="E78" s="24"/>
      <c r="F78" s="24"/>
      <c r="G78" s="24"/>
      <c r="H78" s="24"/>
      <c r="I78" s="24"/>
      <c r="J78" s="24"/>
      <c r="K78" s="24"/>
      <c r="L78" s="24"/>
      <c r="M78" s="24"/>
      <c r="N78" s="24"/>
      <c r="O78" s="24"/>
      <c r="P78" s="24"/>
      <c r="Q78" s="24"/>
      <c r="R78" s="24"/>
    </row>
    <row r="79" spans="5:18" x14ac:dyDescent="0.35">
      <c r="E79" s="24"/>
      <c r="F79" s="24"/>
      <c r="G79" s="24"/>
      <c r="H79" s="24"/>
      <c r="I79" s="24"/>
      <c r="J79" s="24"/>
      <c r="K79" s="24"/>
      <c r="L79" s="24"/>
      <c r="M79" s="24"/>
      <c r="N79" s="24"/>
      <c r="O79" s="24"/>
      <c r="P79" s="24"/>
      <c r="Q79" s="24"/>
      <c r="R79" s="24"/>
    </row>
    <row r="80" spans="5:18" x14ac:dyDescent="0.35">
      <c r="E80" s="24"/>
      <c r="F80" s="24"/>
      <c r="G80" s="24"/>
      <c r="H80" s="24"/>
      <c r="I80" s="24"/>
      <c r="J80" s="24"/>
      <c r="K80" s="24"/>
      <c r="L80" s="24"/>
      <c r="M80" s="24"/>
      <c r="N80" s="24"/>
      <c r="O80" s="24"/>
      <c r="P80" s="24"/>
      <c r="Q80" s="24"/>
      <c r="R80" s="24"/>
    </row>
    <row r="81" spans="5:18" x14ac:dyDescent="0.35">
      <c r="E81" s="24"/>
      <c r="F81" s="24"/>
      <c r="G81" s="24"/>
      <c r="H81" s="24"/>
      <c r="I81" s="24"/>
      <c r="J81" s="24"/>
      <c r="K81" s="24"/>
      <c r="L81" s="24"/>
      <c r="M81" s="24"/>
      <c r="N81" s="24"/>
      <c r="O81" s="24"/>
      <c r="P81" s="24"/>
      <c r="Q81" s="24"/>
      <c r="R81" s="24"/>
    </row>
    <row r="82" spans="5:18" x14ac:dyDescent="0.35">
      <c r="E82" s="24"/>
      <c r="F82" s="24"/>
      <c r="G82" s="24"/>
      <c r="H82" s="24"/>
      <c r="I82" s="24"/>
      <c r="J82" s="24"/>
      <c r="K82" s="24"/>
      <c r="L82" s="24"/>
      <c r="M82" s="24"/>
      <c r="N82" s="24"/>
      <c r="O82" s="24"/>
      <c r="P82" s="24"/>
      <c r="Q82" s="24"/>
      <c r="R82" s="24"/>
    </row>
    <row r="83" spans="5:18" x14ac:dyDescent="0.35">
      <c r="E83" s="24"/>
      <c r="F83" s="24"/>
      <c r="G83" s="24"/>
      <c r="H83" s="24"/>
      <c r="I83" s="24"/>
      <c r="J83" s="24"/>
      <c r="K83" s="24"/>
      <c r="L83" s="24"/>
      <c r="M83" s="24"/>
      <c r="N83" s="24"/>
      <c r="O83" s="24"/>
      <c r="P83" s="24"/>
      <c r="Q83" s="24"/>
      <c r="R83" s="24"/>
    </row>
    <row r="84" spans="5:18" x14ac:dyDescent="0.35">
      <c r="E84" s="24"/>
      <c r="F84" s="24"/>
      <c r="G84" s="24"/>
      <c r="H84" s="24"/>
      <c r="I84" s="24"/>
      <c r="J84" s="24"/>
      <c r="K84" s="24"/>
      <c r="L84" s="24"/>
      <c r="M84" s="24"/>
      <c r="N84" s="24"/>
      <c r="O84" s="24"/>
      <c r="P84" s="24"/>
      <c r="Q84" s="24"/>
      <c r="R84" s="24"/>
    </row>
    <row r="85" spans="5:18" x14ac:dyDescent="0.35">
      <c r="E85" s="24"/>
      <c r="F85" s="24"/>
      <c r="G85" s="24"/>
      <c r="H85" s="24"/>
      <c r="I85" s="24"/>
      <c r="J85" s="24"/>
      <c r="K85" s="24"/>
      <c r="L85" s="24"/>
      <c r="M85" s="24"/>
      <c r="N85" s="24"/>
      <c r="O85" s="24"/>
      <c r="P85" s="24"/>
      <c r="Q85" s="24"/>
      <c r="R85" s="24"/>
    </row>
    <row r="86" spans="5:18" x14ac:dyDescent="0.35">
      <c r="E86" s="24"/>
      <c r="F86" s="24"/>
      <c r="G86" s="24"/>
      <c r="H86" s="24"/>
      <c r="I86" s="24"/>
      <c r="J86" s="24"/>
      <c r="K86" s="24"/>
      <c r="L86" s="24"/>
      <c r="M86" s="24"/>
      <c r="N86" s="24"/>
      <c r="O86" s="24"/>
      <c r="P86" s="24"/>
      <c r="Q86" s="24"/>
      <c r="R86" s="24"/>
    </row>
    <row r="87" spans="5:18" x14ac:dyDescent="0.35">
      <c r="E87" s="24"/>
      <c r="F87" s="24"/>
      <c r="G87" s="24"/>
      <c r="H87" s="24"/>
      <c r="I87" s="24"/>
      <c r="J87" s="24"/>
      <c r="K87" s="24"/>
      <c r="L87" s="24"/>
      <c r="M87" s="24"/>
      <c r="N87" s="24"/>
      <c r="O87" s="24"/>
      <c r="P87" s="24"/>
      <c r="Q87" s="24"/>
      <c r="R87" s="24"/>
    </row>
    <row r="88" spans="5:18" x14ac:dyDescent="0.35">
      <c r="E88" s="24"/>
      <c r="F88" s="24"/>
      <c r="G88" s="24"/>
      <c r="H88" s="24"/>
      <c r="I88" s="24"/>
      <c r="J88" s="24"/>
      <c r="K88" s="24"/>
      <c r="L88" s="24"/>
      <c r="M88" s="24"/>
      <c r="N88" s="24"/>
      <c r="O88" s="24"/>
      <c r="P88" s="24"/>
      <c r="Q88" s="24"/>
      <c r="R88" s="24"/>
    </row>
    <row r="89" spans="5:18" x14ac:dyDescent="0.35">
      <c r="E89" s="24"/>
      <c r="F89" s="24"/>
      <c r="G89" s="24"/>
      <c r="H89" s="24"/>
      <c r="I89" s="24"/>
      <c r="J89" s="24"/>
      <c r="K89" s="24"/>
      <c r="L89" s="24"/>
      <c r="M89" s="24"/>
      <c r="N89" s="24"/>
      <c r="O89" s="24"/>
      <c r="P89" s="24"/>
      <c r="Q89" s="24"/>
      <c r="R89" s="24"/>
    </row>
    <row r="90" spans="5:18" x14ac:dyDescent="0.35">
      <c r="E90" s="24"/>
      <c r="F90" s="24"/>
      <c r="G90" s="24"/>
      <c r="H90" s="24"/>
      <c r="I90" s="24"/>
      <c r="J90" s="24"/>
      <c r="K90" s="24"/>
      <c r="L90" s="24"/>
      <c r="M90" s="24"/>
      <c r="N90" s="24"/>
      <c r="O90" s="24"/>
      <c r="P90" s="24"/>
      <c r="Q90" s="24"/>
      <c r="R90" s="24"/>
    </row>
    <row r="91" spans="5:18" x14ac:dyDescent="0.35">
      <c r="E91" s="24"/>
      <c r="F91" s="24"/>
      <c r="G91" s="24"/>
      <c r="H91" s="24"/>
      <c r="I91" s="24"/>
      <c r="J91" s="24"/>
      <c r="K91" s="24"/>
      <c r="L91" s="24"/>
      <c r="M91" s="24"/>
      <c r="N91" s="24"/>
      <c r="O91" s="24"/>
      <c r="P91" s="24"/>
      <c r="Q91" s="24"/>
      <c r="R91" s="24"/>
    </row>
    <row r="92" spans="5:18" x14ac:dyDescent="0.35">
      <c r="E92" s="24"/>
      <c r="F92" s="24"/>
      <c r="G92" s="24"/>
      <c r="H92" s="24"/>
      <c r="I92" s="24"/>
      <c r="J92" s="24"/>
      <c r="K92" s="24"/>
      <c r="L92" s="24"/>
      <c r="M92" s="24"/>
      <c r="N92" s="24"/>
      <c r="O92" s="24"/>
      <c r="P92" s="24"/>
      <c r="Q92" s="24"/>
      <c r="R92" s="24"/>
    </row>
    <row r="93" spans="5:18" x14ac:dyDescent="0.35">
      <c r="E93" s="24"/>
      <c r="F93" s="24"/>
      <c r="G93" s="24"/>
      <c r="H93" s="24"/>
      <c r="I93" s="24"/>
      <c r="J93" s="24"/>
      <c r="K93" s="24"/>
      <c r="L93" s="24"/>
      <c r="M93" s="24"/>
      <c r="N93" s="24"/>
      <c r="O93" s="24"/>
      <c r="P93" s="24"/>
      <c r="Q93" s="24"/>
      <c r="R93" s="24"/>
    </row>
    <row r="94" spans="5:18" x14ac:dyDescent="0.35">
      <c r="E94" s="24"/>
      <c r="F94" s="24"/>
      <c r="G94" s="24"/>
      <c r="H94" s="24"/>
      <c r="I94" s="24"/>
      <c r="J94" s="24"/>
      <c r="K94" s="24"/>
      <c r="L94" s="24"/>
      <c r="M94" s="24"/>
      <c r="N94" s="24"/>
      <c r="O94" s="24"/>
      <c r="P94" s="24"/>
      <c r="Q94" s="24"/>
      <c r="R94" s="24"/>
    </row>
    <row r="95" spans="5:18" x14ac:dyDescent="0.35">
      <c r="E95" s="24"/>
      <c r="F95" s="24"/>
      <c r="G95" s="24"/>
      <c r="H95" s="24"/>
      <c r="I95" s="24"/>
      <c r="J95" s="24"/>
      <c r="K95" s="24"/>
      <c r="L95" s="24"/>
      <c r="M95" s="24"/>
      <c r="N95" s="24"/>
      <c r="O95" s="24"/>
      <c r="P95" s="24"/>
      <c r="Q95" s="24"/>
      <c r="R95" s="24"/>
    </row>
    <row r="96" spans="5:18" x14ac:dyDescent="0.35">
      <c r="E96" s="24"/>
      <c r="F96" s="24"/>
      <c r="G96" s="24"/>
      <c r="H96" s="24"/>
      <c r="I96" s="24"/>
      <c r="J96" s="24"/>
      <c r="K96" s="24"/>
      <c r="L96" s="24"/>
      <c r="M96" s="24"/>
      <c r="N96" s="24"/>
      <c r="O96" s="24"/>
      <c r="P96" s="24"/>
      <c r="Q96" s="24"/>
      <c r="R96" s="24"/>
    </row>
    <row r="97" spans="5:18" x14ac:dyDescent="0.35">
      <c r="E97" s="24"/>
      <c r="F97" s="24"/>
      <c r="G97" s="24"/>
      <c r="H97" s="24"/>
      <c r="I97" s="24"/>
      <c r="J97" s="24"/>
      <c r="K97" s="24"/>
      <c r="L97" s="24"/>
      <c r="M97" s="24"/>
      <c r="N97" s="24"/>
      <c r="O97" s="24"/>
      <c r="P97" s="24"/>
      <c r="Q97" s="24"/>
      <c r="R97" s="24"/>
    </row>
    <row r="98" spans="5:18" x14ac:dyDescent="0.35">
      <c r="E98" s="24"/>
      <c r="F98" s="24"/>
      <c r="G98" s="24"/>
      <c r="H98" s="24"/>
      <c r="I98" s="24"/>
      <c r="J98" s="24"/>
      <c r="K98" s="24"/>
      <c r="L98" s="24"/>
      <c r="M98" s="24"/>
      <c r="N98" s="24"/>
      <c r="O98" s="24"/>
      <c r="P98" s="24"/>
      <c r="Q98" s="24"/>
      <c r="R98" s="24"/>
    </row>
    <row r="99" spans="5:18" x14ac:dyDescent="0.35">
      <c r="E99" s="24"/>
      <c r="F99" s="24"/>
      <c r="G99" s="24"/>
      <c r="H99" s="24"/>
      <c r="I99" s="24"/>
      <c r="J99" s="24"/>
      <c r="K99" s="24"/>
      <c r="L99" s="24"/>
      <c r="M99" s="24"/>
      <c r="N99" s="24"/>
      <c r="O99" s="24"/>
      <c r="P99" s="24"/>
      <c r="Q99" s="24"/>
      <c r="R99" s="24"/>
    </row>
    <row r="100" spans="5:18" x14ac:dyDescent="0.35">
      <c r="E100" s="24"/>
      <c r="F100" s="24"/>
      <c r="G100" s="24"/>
      <c r="H100" s="24"/>
      <c r="I100" s="24"/>
      <c r="J100" s="24"/>
      <c r="K100" s="24"/>
      <c r="L100" s="24"/>
      <c r="M100" s="24"/>
      <c r="N100" s="24"/>
      <c r="O100" s="24"/>
      <c r="P100" s="24"/>
      <c r="Q100" s="24"/>
      <c r="R100" s="24"/>
    </row>
    <row r="101" spans="5:18" x14ac:dyDescent="0.35">
      <c r="E101" s="24"/>
      <c r="F101" s="24"/>
      <c r="G101" s="24"/>
      <c r="H101" s="24"/>
      <c r="I101" s="24"/>
      <c r="J101" s="24"/>
      <c r="K101" s="24"/>
      <c r="L101" s="24"/>
      <c r="M101" s="24"/>
      <c r="N101" s="24"/>
      <c r="O101" s="24"/>
      <c r="P101" s="24"/>
      <c r="Q101" s="24"/>
      <c r="R101" s="24"/>
    </row>
    <row r="102" spans="5:18" x14ac:dyDescent="0.35">
      <c r="E102" s="24"/>
      <c r="F102" s="24"/>
      <c r="G102" s="24"/>
      <c r="H102" s="24"/>
      <c r="I102" s="24"/>
      <c r="J102" s="24"/>
      <c r="K102" s="24"/>
      <c r="L102" s="24"/>
      <c r="M102" s="24"/>
      <c r="N102" s="24"/>
      <c r="O102" s="24"/>
      <c r="P102" s="24"/>
      <c r="Q102" s="24"/>
      <c r="R102" s="24"/>
    </row>
    <row r="103" spans="5:18" x14ac:dyDescent="0.35">
      <c r="E103" s="24"/>
      <c r="F103" s="24"/>
      <c r="G103" s="24"/>
      <c r="H103" s="24"/>
      <c r="I103" s="24"/>
      <c r="J103" s="24"/>
      <c r="K103" s="24"/>
      <c r="L103" s="24"/>
      <c r="M103" s="24"/>
      <c r="N103" s="24"/>
      <c r="O103" s="24"/>
      <c r="P103" s="24"/>
      <c r="Q103" s="24"/>
      <c r="R103" s="24"/>
    </row>
    <row r="104" spans="5:18" x14ac:dyDescent="0.35">
      <c r="E104" s="24"/>
      <c r="F104" s="24"/>
      <c r="G104" s="24"/>
      <c r="H104" s="24"/>
      <c r="I104" s="24"/>
      <c r="J104" s="24"/>
      <c r="K104" s="24"/>
      <c r="L104" s="24"/>
      <c r="M104" s="24"/>
      <c r="N104" s="24"/>
      <c r="O104" s="24"/>
      <c r="P104" s="24"/>
      <c r="Q104" s="24"/>
      <c r="R104" s="24"/>
    </row>
    <row r="105" spans="5:18" x14ac:dyDescent="0.35">
      <c r="E105" s="24"/>
      <c r="F105" s="24"/>
      <c r="G105" s="24"/>
      <c r="H105" s="24"/>
      <c r="I105" s="24"/>
      <c r="J105" s="24"/>
      <c r="K105" s="24"/>
      <c r="L105" s="24"/>
      <c r="M105" s="24"/>
      <c r="N105" s="24"/>
      <c r="O105" s="24"/>
      <c r="P105" s="24"/>
      <c r="Q105" s="24"/>
      <c r="R105" s="24"/>
    </row>
    <row r="106" spans="5:18" x14ac:dyDescent="0.35">
      <c r="E106" s="24"/>
      <c r="F106" s="24"/>
      <c r="G106" s="24"/>
      <c r="H106" s="24"/>
      <c r="I106" s="24"/>
      <c r="J106" s="24"/>
      <c r="K106" s="24"/>
      <c r="L106" s="24"/>
      <c r="M106" s="24"/>
      <c r="N106" s="24"/>
      <c r="O106" s="24"/>
      <c r="P106" s="24"/>
      <c r="Q106" s="24"/>
      <c r="R106" s="24"/>
    </row>
    <row r="107" spans="5:18" x14ac:dyDescent="0.35">
      <c r="E107" s="24"/>
      <c r="F107" s="24"/>
      <c r="G107" s="24"/>
      <c r="H107" s="24"/>
      <c r="I107" s="24"/>
      <c r="J107" s="24"/>
      <c r="K107" s="24"/>
      <c r="L107" s="24"/>
      <c r="M107" s="24"/>
      <c r="N107" s="24"/>
      <c r="O107" s="24"/>
      <c r="P107" s="24"/>
      <c r="Q107" s="24"/>
      <c r="R107" s="24"/>
    </row>
    <row r="108" spans="5:18" x14ac:dyDescent="0.35">
      <c r="E108" s="24"/>
      <c r="F108" s="24"/>
      <c r="G108" s="24"/>
      <c r="H108" s="24"/>
      <c r="I108" s="24"/>
      <c r="J108" s="24"/>
      <c r="K108" s="24"/>
      <c r="L108" s="24"/>
      <c r="M108" s="24"/>
      <c r="N108" s="24"/>
      <c r="O108" s="24"/>
      <c r="P108" s="24"/>
      <c r="Q108" s="24"/>
      <c r="R108" s="24"/>
    </row>
    <row r="109" spans="5:18" x14ac:dyDescent="0.35">
      <c r="E109" s="24"/>
      <c r="F109" s="24"/>
      <c r="G109" s="24"/>
      <c r="H109" s="24"/>
      <c r="I109" s="24"/>
      <c r="J109" s="24"/>
      <c r="K109" s="24"/>
      <c r="L109" s="24"/>
      <c r="M109" s="24"/>
      <c r="N109" s="24"/>
      <c r="O109" s="24"/>
      <c r="P109" s="24"/>
      <c r="Q109" s="24"/>
      <c r="R109" s="24"/>
    </row>
    <row r="110" spans="5:18" x14ac:dyDescent="0.35">
      <c r="E110" s="24"/>
      <c r="F110" s="24"/>
      <c r="G110" s="24"/>
      <c r="H110" s="24"/>
      <c r="I110" s="24"/>
      <c r="J110" s="24"/>
      <c r="K110" s="24"/>
      <c r="L110" s="24"/>
      <c r="M110" s="24"/>
      <c r="N110" s="24"/>
      <c r="O110" s="24"/>
      <c r="P110" s="24"/>
      <c r="Q110" s="24"/>
      <c r="R110" s="24"/>
    </row>
    <row r="111" spans="5:18" x14ac:dyDescent="0.35">
      <c r="E111" s="24"/>
      <c r="F111" s="24"/>
      <c r="G111" s="24"/>
      <c r="H111" s="24"/>
      <c r="I111" s="24"/>
      <c r="J111" s="24"/>
      <c r="K111" s="24"/>
      <c r="L111" s="24"/>
      <c r="M111" s="24"/>
      <c r="N111" s="24"/>
      <c r="O111" s="24"/>
      <c r="P111" s="24"/>
      <c r="Q111" s="24"/>
      <c r="R111" s="24"/>
    </row>
    <row r="112" spans="5:18" x14ac:dyDescent="0.35">
      <c r="E112" s="24"/>
      <c r="F112" s="24"/>
      <c r="G112" s="24"/>
      <c r="H112" s="24"/>
      <c r="I112" s="24"/>
      <c r="J112" s="24"/>
      <c r="K112" s="24"/>
      <c r="L112" s="24"/>
      <c r="M112" s="24"/>
      <c r="N112" s="24"/>
      <c r="O112" s="24"/>
      <c r="P112" s="24"/>
      <c r="Q112" s="24"/>
      <c r="R112" s="24"/>
    </row>
    <row r="113" spans="5:18" x14ac:dyDescent="0.35">
      <c r="E113" s="24"/>
      <c r="F113" s="24"/>
      <c r="G113" s="24"/>
      <c r="H113" s="24"/>
      <c r="I113" s="24"/>
      <c r="J113" s="24"/>
      <c r="K113" s="24"/>
      <c r="L113" s="24"/>
      <c r="M113" s="24"/>
      <c r="N113" s="24"/>
      <c r="O113" s="24"/>
      <c r="P113" s="24"/>
      <c r="Q113" s="24"/>
      <c r="R113" s="24"/>
    </row>
    <row r="114" spans="5:18" x14ac:dyDescent="0.35">
      <c r="E114" s="24"/>
      <c r="F114" s="24"/>
      <c r="G114" s="24"/>
      <c r="H114" s="24"/>
      <c r="I114" s="24"/>
      <c r="J114" s="24"/>
      <c r="K114" s="24"/>
      <c r="L114" s="24"/>
      <c r="M114" s="24"/>
      <c r="N114" s="24"/>
      <c r="O114" s="24"/>
      <c r="P114" s="24"/>
      <c r="Q114" s="24"/>
      <c r="R114" s="24"/>
    </row>
    <row r="115" spans="5:18" x14ac:dyDescent="0.35">
      <c r="E115" s="24"/>
      <c r="F115" s="24"/>
      <c r="G115" s="24"/>
      <c r="H115" s="24"/>
      <c r="I115" s="24"/>
      <c r="J115" s="24"/>
      <c r="K115" s="24"/>
      <c r="L115" s="24"/>
      <c r="M115" s="24"/>
      <c r="N115" s="24"/>
      <c r="O115" s="24"/>
      <c r="P115" s="24"/>
      <c r="Q115" s="24"/>
      <c r="R115" s="24"/>
    </row>
    <row r="116" spans="5:18" x14ac:dyDescent="0.35">
      <c r="E116" s="24"/>
      <c r="F116" s="24"/>
      <c r="G116" s="24"/>
      <c r="H116" s="24"/>
      <c r="I116" s="24"/>
      <c r="J116" s="24"/>
      <c r="K116" s="24"/>
      <c r="L116" s="24"/>
      <c r="M116" s="24"/>
      <c r="N116" s="24"/>
      <c r="O116" s="24"/>
      <c r="P116" s="24"/>
      <c r="Q116" s="24"/>
      <c r="R116" s="24"/>
    </row>
    <row r="117" spans="5:18" x14ac:dyDescent="0.35">
      <c r="E117" s="24"/>
      <c r="F117" s="24"/>
      <c r="G117" s="24"/>
      <c r="H117" s="24"/>
      <c r="I117" s="24"/>
      <c r="J117" s="24"/>
      <c r="K117" s="24"/>
      <c r="L117" s="24"/>
      <c r="M117" s="24"/>
      <c r="N117" s="24"/>
      <c r="O117" s="24"/>
      <c r="P117" s="24"/>
      <c r="Q117" s="24"/>
      <c r="R117" s="24"/>
    </row>
    <row r="118" spans="5:18" x14ac:dyDescent="0.35">
      <c r="E118" s="24"/>
      <c r="F118" s="24"/>
      <c r="G118" s="24"/>
      <c r="H118" s="24"/>
      <c r="I118" s="24"/>
      <c r="J118" s="24"/>
      <c r="K118" s="24"/>
      <c r="L118" s="24"/>
      <c r="M118" s="24"/>
      <c r="N118" s="24"/>
      <c r="O118" s="24"/>
      <c r="P118" s="24"/>
      <c r="Q118" s="24"/>
      <c r="R118" s="24"/>
    </row>
    <row r="119" spans="5:18" x14ac:dyDescent="0.35">
      <c r="E119" s="24"/>
      <c r="F119" s="24"/>
      <c r="G119" s="24"/>
      <c r="H119" s="24"/>
      <c r="I119" s="24"/>
      <c r="J119" s="24"/>
      <c r="K119" s="24"/>
      <c r="L119" s="24"/>
      <c r="M119" s="24"/>
      <c r="N119" s="24"/>
      <c r="O119" s="24"/>
      <c r="P119" s="24"/>
      <c r="Q119" s="24"/>
      <c r="R119" s="24"/>
    </row>
    <row r="120" spans="5:18" x14ac:dyDescent="0.35">
      <c r="E120" s="24"/>
      <c r="F120" s="24"/>
      <c r="G120" s="24"/>
      <c r="H120" s="24"/>
      <c r="I120" s="24"/>
      <c r="J120" s="24"/>
      <c r="K120" s="24"/>
      <c r="L120" s="24"/>
      <c r="M120" s="24"/>
      <c r="N120" s="24"/>
      <c r="O120" s="24"/>
      <c r="P120" s="24"/>
      <c r="Q120" s="24"/>
      <c r="R120" s="24"/>
    </row>
    <row r="121" spans="5:18" x14ac:dyDescent="0.35">
      <c r="E121" s="24"/>
      <c r="F121" s="24"/>
      <c r="G121" s="24"/>
      <c r="H121" s="24"/>
      <c r="I121" s="24"/>
      <c r="J121" s="24"/>
      <c r="K121" s="24"/>
      <c r="L121" s="24"/>
      <c r="M121" s="24"/>
      <c r="N121" s="24"/>
      <c r="O121" s="24"/>
      <c r="P121" s="24"/>
      <c r="Q121" s="24"/>
      <c r="R121" s="24"/>
    </row>
    <row r="122" spans="5:18" x14ac:dyDescent="0.35">
      <c r="E122" s="24"/>
      <c r="F122" s="24"/>
      <c r="G122" s="24"/>
      <c r="H122" s="24"/>
      <c r="I122" s="24"/>
      <c r="J122" s="24"/>
      <c r="K122" s="24"/>
      <c r="L122" s="24"/>
      <c r="M122" s="24"/>
      <c r="N122" s="24"/>
      <c r="O122" s="24"/>
      <c r="P122" s="24"/>
      <c r="Q122" s="24"/>
      <c r="R122" s="24"/>
    </row>
    <row r="123" spans="5:18" x14ac:dyDescent="0.35">
      <c r="E123" s="24"/>
      <c r="F123" s="24"/>
      <c r="G123" s="24"/>
      <c r="H123" s="24"/>
      <c r="I123" s="24"/>
      <c r="J123" s="24"/>
      <c r="K123" s="24"/>
      <c r="L123" s="24"/>
      <c r="M123" s="24"/>
      <c r="N123" s="24"/>
      <c r="O123" s="24"/>
      <c r="P123" s="24"/>
      <c r="Q123" s="24"/>
      <c r="R123" s="24"/>
    </row>
    <row r="124" spans="5:18" x14ac:dyDescent="0.35">
      <c r="E124" s="24"/>
      <c r="F124" s="24"/>
      <c r="G124" s="24"/>
      <c r="H124" s="24"/>
      <c r="I124" s="24"/>
      <c r="J124" s="24"/>
      <c r="K124" s="24"/>
      <c r="L124" s="24"/>
      <c r="M124" s="24"/>
      <c r="N124" s="24"/>
      <c r="O124" s="24"/>
      <c r="P124" s="24"/>
      <c r="Q124" s="24"/>
      <c r="R124" s="24"/>
    </row>
    <row r="125" spans="5:18" x14ac:dyDescent="0.35">
      <c r="E125" s="24"/>
      <c r="F125" s="24"/>
      <c r="G125" s="24"/>
      <c r="H125" s="24"/>
      <c r="I125" s="24"/>
      <c r="J125" s="24"/>
      <c r="K125" s="24"/>
      <c r="L125" s="24"/>
      <c r="M125" s="24"/>
      <c r="N125" s="24"/>
      <c r="O125" s="24"/>
      <c r="P125" s="24"/>
      <c r="Q125" s="24"/>
      <c r="R125" s="24"/>
    </row>
    <row r="126" spans="5:18" x14ac:dyDescent="0.35">
      <c r="E126" s="24"/>
      <c r="F126" s="24"/>
      <c r="G126" s="24"/>
      <c r="H126" s="24"/>
      <c r="I126" s="24"/>
      <c r="J126" s="24"/>
      <c r="K126" s="24"/>
      <c r="L126" s="24"/>
      <c r="M126" s="24"/>
      <c r="N126" s="24"/>
      <c r="O126" s="24"/>
      <c r="P126" s="24"/>
      <c r="Q126" s="24"/>
      <c r="R126" s="24"/>
    </row>
    <row r="127" spans="5:18" x14ac:dyDescent="0.35">
      <c r="E127" s="24"/>
      <c r="F127" s="24"/>
      <c r="G127" s="24"/>
      <c r="H127" s="24"/>
      <c r="I127" s="24"/>
      <c r="J127" s="24"/>
      <c r="K127" s="24"/>
      <c r="L127" s="24"/>
      <c r="M127" s="24"/>
      <c r="N127" s="24"/>
      <c r="O127" s="24"/>
      <c r="P127" s="24"/>
      <c r="Q127" s="24"/>
      <c r="R127" s="24"/>
    </row>
    <row r="128" spans="5:18" x14ac:dyDescent="0.35">
      <c r="E128" s="24"/>
      <c r="F128" s="24"/>
      <c r="G128" s="24"/>
      <c r="H128" s="24"/>
      <c r="I128" s="24"/>
      <c r="J128" s="24"/>
      <c r="K128" s="24"/>
      <c r="L128" s="24"/>
      <c r="M128" s="24"/>
      <c r="N128" s="24"/>
      <c r="O128" s="24"/>
      <c r="P128" s="24"/>
      <c r="Q128" s="24"/>
      <c r="R128" s="24"/>
    </row>
    <row r="129" spans="5:18" x14ac:dyDescent="0.35">
      <c r="E129" s="24"/>
      <c r="F129" s="24"/>
      <c r="G129" s="24"/>
      <c r="H129" s="24"/>
      <c r="I129" s="24"/>
      <c r="J129" s="24"/>
      <c r="K129" s="24"/>
      <c r="L129" s="24"/>
      <c r="M129" s="24"/>
      <c r="N129" s="24"/>
      <c r="O129" s="24"/>
      <c r="P129" s="24"/>
      <c r="Q129" s="24"/>
      <c r="R129" s="2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F104-DA15-461C-BFB5-23D88FB9789F}">
  <dimension ref="A1"/>
  <sheetViews>
    <sheetView showGridLines="0" workbookViewId="0">
      <selection activeCell="X110" sqref="X110"/>
    </sheetView>
  </sheetViews>
  <sheetFormatPr defaultRowHeight="14.5" x14ac:dyDescent="0.3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EBE56-4E7B-43A2-BB6D-B9FB7C1B4F4C}">
  <dimension ref="B1:C22"/>
  <sheetViews>
    <sheetView topLeftCell="A2" workbookViewId="0">
      <selection activeCell="C58" sqref="C58"/>
    </sheetView>
  </sheetViews>
  <sheetFormatPr defaultRowHeight="15.5" x14ac:dyDescent="0.35"/>
  <cols>
    <col min="1" max="1" width="1.7265625" style="362" customWidth="1"/>
    <col min="2" max="2" width="56.54296875" style="362" bestFit="1" customWidth="1"/>
    <col min="3" max="3" width="172.1796875" style="362" bestFit="1" customWidth="1"/>
    <col min="4" max="16384" width="8.7265625" style="362"/>
  </cols>
  <sheetData>
    <row r="1" spans="2:3" ht="43" thickBot="1" x14ac:dyDescent="1.1499999999999999">
      <c r="B1" s="409" t="s">
        <v>296</v>
      </c>
    </row>
    <row r="2" spans="2:3" x14ac:dyDescent="0.35">
      <c r="B2" s="486" t="s">
        <v>27</v>
      </c>
      <c r="C2" s="487" t="s">
        <v>297</v>
      </c>
    </row>
    <row r="3" spans="2:3" x14ac:dyDescent="0.35">
      <c r="B3" s="369" t="s">
        <v>54</v>
      </c>
      <c r="C3" s="372" t="s">
        <v>298</v>
      </c>
    </row>
    <row r="4" spans="2:3" x14ac:dyDescent="0.35">
      <c r="B4" s="369" t="s">
        <v>201</v>
      </c>
      <c r="C4" s="372" t="s">
        <v>299</v>
      </c>
    </row>
    <row r="5" spans="2:3" x14ac:dyDescent="0.35">
      <c r="B5" s="369" t="s">
        <v>55</v>
      </c>
      <c r="C5" s="372" t="s">
        <v>300</v>
      </c>
    </row>
    <row r="6" spans="2:3" ht="31" x14ac:dyDescent="0.35">
      <c r="B6" s="369" t="s">
        <v>193</v>
      </c>
      <c r="C6" s="488" t="s">
        <v>301</v>
      </c>
    </row>
    <row r="7" spans="2:3" ht="31" x14ac:dyDescent="0.35">
      <c r="B7" s="369" t="s">
        <v>202</v>
      </c>
      <c r="C7" s="488" t="s">
        <v>302</v>
      </c>
    </row>
    <row r="8" spans="2:3" x14ac:dyDescent="0.35">
      <c r="B8" s="369" t="s">
        <v>303</v>
      </c>
      <c r="C8" s="372" t="s">
        <v>304</v>
      </c>
    </row>
    <row r="9" spans="2:3" x14ac:dyDescent="0.35">
      <c r="B9" s="369" t="s">
        <v>305</v>
      </c>
      <c r="C9" s="372" t="s">
        <v>306</v>
      </c>
    </row>
    <row r="10" spans="2:3" x14ac:dyDescent="0.35">
      <c r="B10" s="369" t="s">
        <v>307</v>
      </c>
      <c r="C10" s="372" t="s">
        <v>308</v>
      </c>
    </row>
    <row r="11" spans="2:3" x14ac:dyDescent="0.35">
      <c r="B11" s="369" t="s">
        <v>309</v>
      </c>
      <c r="C11" s="372" t="s">
        <v>310</v>
      </c>
    </row>
    <row r="12" spans="2:3" x14ac:dyDescent="0.35">
      <c r="B12" s="369" t="s">
        <v>311</v>
      </c>
      <c r="C12" s="372" t="s">
        <v>312</v>
      </c>
    </row>
    <row r="13" spans="2:3" x14ac:dyDescent="0.35">
      <c r="B13" s="369" t="s">
        <v>313</v>
      </c>
      <c r="C13" s="372" t="s">
        <v>314</v>
      </c>
    </row>
    <row r="14" spans="2:3" x14ac:dyDescent="0.35">
      <c r="B14" s="369" t="s">
        <v>315</v>
      </c>
      <c r="C14" s="372" t="s">
        <v>316</v>
      </c>
    </row>
    <row r="15" spans="2:3" x14ac:dyDescent="0.35">
      <c r="B15" s="369" t="s">
        <v>317</v>
      </c>
      <c r="C15" s="372" t="s">
        <v>318</v>
      </c>
    </row>
    <row r="16" spans="2:3" x14ac:dyDescent="0.35">
      <c r="B16" s="369" t="s">
        <v>319</v>
      </c>
      <c r="C16" s="372" t="s">
        <v>320</v>
      </c>
    </row>
    <row r="17" spans="2:3" x14ac:dyDescent="0.35">
      <c r="B17" s="369" t="s">
        <v>321</v>
      </c>
      <c r="C17" s="372" t="s">
        <v>322</v>
      </c>
    </row>
    <row r="18" spans="2:3" x14ac:dyDescent="0.35">
      <c r="B18" s="369" t="s">
        <v>323</v>
      </c>
      <c r="C18" s="372" t="s">
        <v>324</v>
      </c>
    </row>
    <row r="19" spans="2:3" x14ac:dyDescent="0.35">
      <c r="B19" s="369" t="s">
        <v>325</v>
      </c>
      <c r="C19" s="372" t="s">
        <v>326</v>
      </c>
    </row>
    <row r="20" spans="2:3" ht="31" x14ac:dyDescent="0.35">
      <c r="B20" s="369" t="s">
        <v>327</v>
      </c>
      <c r="C20" s="488" t="s">
        <v>328</v>
      </c>
    </row>
    <row r="21" spans="2:3" x14ac:dyDescent="0.35">
      <c r="B21" s="369" t="s">
        <v>281</v>
      </c>
      <c r="C21" s="372" t="s">
        <v>329</v>
      </c>
    </row>
    <row r="22" spans="2:3" ht="16" thickBot="1" x14ac:dyDescent="0.4">
      <c r="B22" s="489" t="s">
        <v>41</v>
      </c>
      <c r="C22" s="490" t="s">
        <v>330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A9C9-93CF-405D-A8B8-B66FBD85943D}">
  <dimension ref="B1:R81"/>
  <sheetViews>
    <sheetView zoomScale="70" zoomScaleNormal="70" workbookViewId="0">
      <selection activeCell="R81" sqref="R81"/>
    </sheetView>
  </sheetViews>
  <sheetFormatPr defaultColWidth="11.6328125" defaultRowHeight="15.5" x14ac:dyDescent="0.35"/>
  <cols>
    <col min="1" max="1" width="1.81640625" style="362" customWidth="1"/>
    <col min="2" max="2" width="55.6328125" style="362" bestFit="1" customWidth="1"/>
    <col min="3" max="3" width="21.26953125" style="362" bestFit="1" customWidth="1"/>
    <col min="4" max="4" width="1.6328125" style="362" customWidth="1"/>
    <col min="5" max="5" width="42.90625" style="410" bestFit="1" customWidth="1"/>
    <col min="6" max="6" width="17.7265625" style="410" bestFit="1" customWidth="1"/>
    <col min="7" max="16" width="20.1796875" style="410" customWidth="1"/>
    <col min="17" max="16384" width="11.6328125" style="362"/>
  </cols>
  <sheetData>
    <row r="1" spans="2:16" ht="43" thickBot="1" x14ac:dyDescent="1.1499999999999999">
      <c r="B1" s="409" t="s">
        <v>203</v>
      </c>
    </row>
    <row r="2" spans="2:16" s="410" customFormat="1" x14ac:dyDescent="0.35">
      <c r="B2" s="411" t="s">
        <v>263</v>
      </c>
      <c r="C2" s="412"/>
      <c r="E2" s="413"/>
      <c r="F2" s="414"/>
      <c r="G2" s="414"/>
      <c r="H2" s="414"/>
      <c r="I2" s="415" t="s">
        <v>264</v>
      </c>
      <c r="J2" s="414"/>
      <c r="K2" s="414"/>
      <c r="L2" s="414"/>
      <c r="M2" s="414"/>
      <c r="N2" s="414"/>
      <c r="O2" s="414"/>
      <c r="P2" s="416"/>
    </row>
    <row r="3" spans="2:16" s="410" customFormat="1" x14ac:dyDescent="0.35">
      <c r="B3" s="417" t="s">
        <v>265</v>
      </c>
      <c r="C3" s="418">
        <f>EOMONTH(DATE(C5,C4,1),0)</f>
        <v>45930</v>
      </c>
      <c r="E3" s="419"/>
      <c r="F3" s="420">
        <f>G3-1</f>
        <v>0</v>
      </c>
      <c r="G3" s="420">
        <v>1</v>
      </c>
      <c r="H3" s="420">
        <v>2</v>
      </c>
      <c r="I3" s="420">
        <v>3</v>
      </c>
      <c r="J3" s="420">
        <v>4</v>
      </c>
      <c r="K3" s="420">
        <v>5</v>
      </c>
      <c r="L3" s="420">
        <v>6</v>
      </c>
      <c r="M3" s="420">
        <v>7</v>
      </c>
      <c r="N3" s="420">
        <v>8</v>
      </c>
      <c r="O3" s="420">
        <v>9</v>
      </c>
      <c r="P3" s="421">
        <v>10</v>
      </c>
    </row>
    <row r="4" spans="2:16" s="410" customFormat="1" x14ac:dyDescent="0.35">
      <c r="B4" s="422" t="s">
        <v>7</v>
      </c>
      <c r="C4" s="423">
        <v>9</v>
      </c>
      <c r="E4" s="419" t="s">
        <v>69</v>
      </c>
      <c r="G4" s="424">
        <f>C3</f>
        <v>45930</v>
      </c>
      <c r="H4" s="424">
        <f>G5</f>
        <v>46295</v>
      </c>
      <c r="I4" s="424">
        <f t="shared" ref="I4:P4" si="0">H5</f>
        <v>46660</v>
      </c>
      <c r="J4" s="424">
        <f t="shared" si="0"/>
        <v>47026</v>
      </c>
      <c r="K4" s="424">
        <f t="shared" si="0"/>
        <v>47391</v>
      </c>
      <c r="L4" s="424">
        <f t="shared" si="0"/>
        <v>47756</v>
      </c>
      <c r="M4" s="424">
        <f t="shared" si="0"/>
        <v>48121</v>
      </c>
      <c r="N4" s="424">
        <f t="shared" si="0"/>
        <v>48487</v>
      </c>
      <c r="O4" s="424">
        <f t="shared" si="0"/>
        <v>48852</v>
      </c>
      <c r="P4" s="425">
        <f t="shared" si="0"/>
        <v>49217</v>
      </c>
    </row>
    <row r="5" spans="2:16" s="410" customFormat="1" x14ac:dyDescent="0.35">
      <c r="B5" s="422" t="s">
        <v>8</v>
      </c>
      <c r="C5" s="426">
        <v>2025</v>
      </c>
      <c r="E5" s="419" t="s">
        <v>266</v>
      </c>
      <c r="G5" s="424">
        <f>EOMONTH(G4,12)</f>
        <v>46295</v>
      </c>
      <c r="H5" s="424">
        <f>EOMONTH(H4,12)</f>
        <v>46660</v>
      </c>
      <c r="I5" s="424">
        <f t="shared" ref="I5:P5" si="1">EOMONTH(I4,12)</f>
        <v>47026</v>
      </c>
      <c r="J5" s="424">
        <f t="shared" si="1"/>
        <v>47391</v>
      </c>
      <c r="K5" s="424">
        <f t="shared" si="1"/>
        <v>47756</v>
      </c>
      <c r="L5" s="424">
        <f t="shared" si="1"/>
        <v>48121</v>
      </c>
      <c r="M5" s="424">
        <f t="shared" si="1"/>
        <v>48487</v>
      </c>
      <c r="N5" s="424">
        <f t="shared" si="1"/>
        <v>48852</v>
      </c>
      <c r="O5" s="424">
        <f t="shared" si="1"/>
        <v>49217</v>
      </c>
      <c r="P5" s="425">
        <f t="shared" si="1"/>
        <v>49582</v>
      </c>
    </row>
    <row r="6" spans="2:16" s="410" customFormat="1" ht="16" thickBot="1" x14ac:dyDescent="0.4">
      <c r="B6" s="422"/>
      <c r="C6" s="427"/>
      <c r="E6" s="419"/>
      <c r="G6" s="424"/>
      <c r="H6" s="424"/>
      <c r="I6" s="424"/>
      <c r="J6" s="424"/>
      <c r="K6" s="424"/>
      <c r="L6" s="424"/>
      <c r="M6" s="424"/>
      <c r="N6" s="424"/>
      <c r="O6" s="424"/>
      <c r="P6" s="425"/>
    </row>
    <row r="7" spans="2:16" s="410" customFormat="1" x14ac:dyDescent="0.35">
      <c r="B7" s="417" t="s">
        <v>267</v>
      </c>
      <c r="C7" s="428">
        <f>SUM(C8:C9)</f>
        <v>20200000</v>
      </c>
      <c r="E7" s="429" t="s">
        <v>15</v>
      </c>
      <c r="F7" s="430">
        <f>-C8</f>
        <v>-20000000</v>
      </c>
      <c r="G7" s="431"/>
      <c r="H7" s="431"/>
      <c r="I7" s="431"/>
      <c r="J7" s="431"/>
      <c r="K7" s="431"/>
      <c r="L7" s="431"/>
      <c r="M7" s="431"/>
      <c r="N7" s="431"/>
      <c r="O7" s="431"/>
      <c r="P7" s="432"/>
    </row>
    <row r="8" spans="2:16" s="410" customFormat="1" ht="16" thickBot="1" x14ac:dyDescent="0.4">
      <c r="B8" s="433" t="s">
        <v>15</v>
      </c>
      <c r="C8" s="434">
        <v>20000000</v>
      </c>
      <c r="E8" s="435" t="s">
        <v>268</v>
      </c>
      <c r="F8" s="436">
        <f>-C9</f>
        <v>-200000</v>
      </c>
      <c r="G8" s="437"/>
      <c r="H8" s="437"/>
      <c r="I8" s="437"/>
      <c r="J8" s="437"/>
      <c r="K8" s="437"/>
      <c r="L8" s="437"/>
      <c r="M8" s="437"/>
      <c r="N8" s="437"/>
      <c r="O8" s="437"/>
      <c r="P8" s="438"/>
    </row>
    <row r="9" spans="2:16" s="410" customFormat="1" x14ac:dyDescent="0.35">
      <c r="B9" s="433" t="s">
        <v>268</v>
      </c>
      <c r="C9" s="434">
        <v>200000</v>
      </c>
      <c r="E9" s="419"/>
      <c r="F9" s="439"/>
      <c r="G9" s="424"/>
      <c r="H9" s="424"/>
      <c r="I9" s="424"/>
      <c r="J9" s="424"/>
      <c r="K9" s="424"/>
      <c r="L9" s="424"/>
      <c r="M9" s="424"/>
      <c r="N9" s="424"/>
      <c r="O9" s="424"/>
      <c r="P9" s="425"/>
    </row>
    <row r="10" spans="2:16" s="410" customFormat="1" x14ac:dyDescent="0.35">
      <c r="B10" s="417"/>
      <c r="C10" s="428"/>
      <c r="E10" s="419" t="s">
        <v>70</v>
      </c>
      <c r="G10" s="440">
        <f t="shared" ref="G10:P10" si="2">_xlfn.DAYS(G5,G4)</f>
        <v>365</v>
      </c>
      <c r="H10" s="440">
        <f t="shared" si="2"/>
        <v>365</v>
      </c>
      <c r="I10" s="440">
        <f t="shared" si="2"/>
        <v>366</v>
      </c>
      <c r="J10" s="440">
        <f t="shared" si="2"/>
        <v>365</v>
      </c>
      <c r="K10" s="440">
        <f t="shared" si="2"/>
        <v>365</v>
      </c>
      <c r="L10" s="440">
        <f t="shared" si="2"/>
        <v>365</v>
      </c>
      <c r="M10" s="440">
        <f t="shared" si="2"/>
        <v>366</v>
      </c>
      <c r="N10" s="440">
        <f t="shared" si="2"/>
        <v>365</v>
      </c>
      <c r="O10" s="440">
        <f t="shared" si="2"/>
        <v>365</v>
      </c>
      <c r="P10" s="441">
        <f t="shared" si="2"/>
        <v>365</v>
      </c>
    </row>
    <row r="11" spans="2:16" s="410" customFormat="1" x14ac:dyDescent="0.35">
      <c r="B11" s="417" t="s">
        <v>269</v>
      </c>
      <c r="C11" s="442">
        <v>0.65</v>
      </c>
      <c r="E11" s="419" t="s">
        <v>64</v>
      </c>
      <c r="G11" s="443">
        <v>150</v>
      </c>
      <c r="H11" s="443">
        <v>150</v>
      </c>
      <c r="I11" s="443">
        <v>150</v>
      </c>
      <c r="J11" s="443">
        <v>150</v>
      </c>
      <c r="K11" s="443">
        <v>150</v>
      </c>
      <c r="L11" s="443">
        <v>150</v>
      </c>
      <c r="M11" s="443">
        <v>150</v>
      </c>
      <c r="N11" s="443">
        <v>150</v>
      </c>
      <c r="O11" s="443">
        <v>150</v>
      </c>
      <c r="P11" s="426">
        <v>150</v>
      </c>
    </row>
    <row r="12" spans="2:16" s="410" customFormat="1" x14ac:dyDescent="0.35">
      <c r="B12" s="417" t="s">
        <v>270</v>
      </c>
      <c r="C12" s="442">
        <v>0.25</v>
      </c>
      <c r="E12" s="419" t="s">
        <v>67</v>
      </c>
      <c r="G12" s="444">
        <v>0.8</v>
      </c>
      <c r="H12" s="444">
        <v>0.8</v>
      </c>
      <c r="I12" s="444">
        <v>0.8</v>
      </c>
      <c r="J12" s="444">
        <v>0.8</v>
      </c>
      <c r="K12" s="444">
        <v>0.8</v>
      </c>
      <c r="L12" s="444">
        <v>0.8</v>
      </c>
      <c r="M12" s="444">
        <v>0.8</v>
      </c>
      <c r="N12" s="444">
        <v>0.8</v>
      </c>
      <c r="O12" s="444">
        <v>0.8</v>
      </c>
      <c r="P12" s="442">
        <v>0.8</v>
      </c>
    </row>
    <row r="13" spans="2:16" s="410" customFormat="1" x14ac:dyDescent="0.35">
      <c r="B13" s="417" t="s">
        <v>271</v>
      </c>
      <c r="C13" s="442">
        <v>0.9</v>
      </c>
      <c r="E13" s="419" t="s">
        <v>65</v>
      </c>
      <c r="G13" s="445">
        <f>G11*G10</f>
        <v>54750</v>
      </c>
      <c r="H13" s="445">
        <f t="shared" ref="H13:P13" si="3">H11*H10</f>
        <v>54750</v>
      </c>
      <c r="I13" s="445">
        <f t="shared" si="3"/>
        <v>54900</v>
      </c>
      <c r="J13" s="445">
        <f t="shared" si="3"/>
        <v>54750</v>
      </c>
      <c r="K13" s="445">
        <f t="shared" si="3"/>
        <v>54750</v>
      </c>
      <c r="L13" s="445">
        <f t="shared" si="3"/>
        <v>54750</v>
      </c>
      <c r="M13" s="445">
        <f t="shared" si="3"/>
        <v>54900</v>
      </c>
      <c r="N13" s="445">
        <f t="shared" si="3"/>
        <v>54750</v>
      </c>
      <c r="O13" s="445">
        <f t="shared" si="3"/>
        <v>54750</v>
      </c>
      <c r="P13" s="446">
        <f t="shared" si="3"/>
        <v>54750</v>
      </c>
    </row>
    <row r="14" spans="2:16" s="410" customFormat="1" x14ac:dyDescent="0.35">
      <c r="B14" s="417" t="s">
        <v>272</v>
      </c>
      <c r="C14" s="442">
        <v>0.95</v>
      </c>
      <c r="E14" s="419" t="s">
        <v>66</v>
      </c>
      <c r="G14" s="447">
        <f>ROUND(G13*G12,0)</f>
        <v>43800</v>
      </c>
      <c r="H14" s="447">
        <f t="shared" ref="H14:P14" si="4">ROUND(H13*H12,0)</f>
        <v>43800</v>
      </c>
      <c r="I14" s="447">
        <f t="shared" si="4"/>
        <v>43920</v>
      </c>
      <c r="J14" s="447">
        <f t="shared" si="4"/>
        <v>43800</v>
      </c>
      <c r="K14" s="447">
        <f t="shared" si="4"/>
        <v>43800</v>
      </c>
      <c r="L14" s="447">
        <f t="shared" si="4"/>
        <v>43800</v>
      </c>
      <c r="M14" s="447">
        <f t="shared" si="4"/>
        <v>43920</v>
      </c>
      <c r="N14" s="447">
        <f t="shared" si="4"/>
        <v>43800</v>
      </c>
      <c r="O14" s="447">
        <f t="shared" si="4"/>
        <v>43800</v>
      </c>
      <c r="P14" s="448">
        <f t="shared" si="4"/>
        <v>43800</v>
      </c>
    </row>
    <row r="15" spans="2:16" s="410" customFormat="1" x14ac:dyDescent="0.35">
      <c r="B15" s="433"/>
      <c r="C15" s="449"/>
      <c r="E15" s="419" t="s">
        <v>54</v>
      </c>
      <c r="G15" s="450">
        <v>150</v>
      </c>
      <c r="H15" s="450">
        <f>G15*1.02</f>
        <v>153</v>
      </c>
      <c r="I15" s="450">
        <f t="shared" ref="I15:P15" si="5">H15*1.02</f>
        <v>156.06</v>
      </c>
      <c r="J15" s="450">
        <f t="shared" si="5"/>
        <v>159.18120000000002</v>
      </c>
      <c r="K15" s="450">
        <f t="shared" si="5"/>
        <v>162.36482400000003</v>
      </c>
      <c r="L15" s="450">
        <f t="shared" si="5"/>
        <v>165.61212048000004</v>
      </c>
      <c r="M15" s="450">
        <f t="shared" si="5"/>
        <v>168.92436288960005</v>
      </c>
      <c r="N15" s="450">
        <f t="shared" si="5"/>
        <v>172.30285014739206</v>
      </c>
      <c r="O15" s="450">
        <f t="shared" si="5"/>
        <v>175.7489071503399</v>
      </c>
      <c r="P15" s="451">
        <f t="shared" si="5"/>
        <v>179.2638852933467</v>
      </c>
    </row>
    <row r="16" spans="2:16" s="410" customFormat="1" x14ac:dyDescent="0.35">
      <c r="B16" s="417" t="s">
        <v>139</v>
      </c>
      <c r="C16" s="452"/>
      <c r="E16" s="419" t="s">
        <v>55</v>
      </c>
      <c r="G16" s="453">
        <f>G15*G12</f>
        <v>120</v>
      </c>
      <c r="H16" s="453">
        <f t="shared" ref="H16:P16" si="6">H15*H12</f>
        <v>122.4</v>
      </c>
      <c r="I16" s="453">
        <f t="shared" si="6"/>
        <v>124.84800000000001</v>
      </c>
      <c r="J16" s="453">
        <f t="shared" si="6"/>
        <v>127.34496000000001</v>
      </c>
      <c r="K16" s="453">
        <f t="shared" si="6"/>
        <v>129.89185920000003</v>
      </c>
      <c r="L16" s="453">
        <f t="shared" si="6"/>
        <v>132.48969638400004</v>
      </c>
      <c r="M16" s="453">
        <f t="shared" si="6"/>
        <v>135.13949031168005</v>
      </c>
      <c r="N16" s="453">
        <f t="shared" si="6"/>
        <v>137.84228011791365</v>
      </c>
      <c r="O16" s="453">
        <f t="shared" si="6"/>
        <v>140.59912572027193</v>
      </c>
      <c r="P16" s="454">
        <f t="shared" si="6"/>
        <v>143.41110823467736</v>
      </c>
    </row>
    <row r="17" spans="2:18" s="410" customFormat="1" x14ac:dyDescent="0.35">
      <c r="B17" s="433" t="s">
        <v>273</v>
      </c>
      <c r="C17" s="442">
        <v>0.03</v>
      </c>
      <c r="E17" s="419"/>
      <c r="G17" s="455"/>
      <c r="H17" s="455"/>
      <c r="I17" s="455"/>
      <c r="J17" s="455"/>
      <c r="K17" s="455"/>
      <c r="L17" s="455"/>
      <c r="P17" s="449"/>
    </row>
    <row r="18" spans="2:18" s="410" customFormat="1" x14ac:dyDescent="0.35">
      <c r="B18" s="433" t="s">
        <v>274</v>
      </c>
      <c r="C18" s="442">
        <v>0.1</v>
      </c>
      <c r="E18" s="456" t="s">
        <v>275</v>
      </c>
      <c r="F18" s="457"/>
      <c r="P18" s="449"/>
    </row>
    <row r="19" spans="2:18" s="410" customFormat="1" x14ac:dyDescent="0.35">
      <c r="B19" s="433" t="s">
        <v>276</v>
      </c>
      <c r="C19" s="434">
        <v>3850000</v>
      </c>
      <c r="E19" s="419" t="s">
        <v>5</v>
      </c>
      <c r="G19" s="453">
        <f>G16*G13</f>
        <v>6570000</v>
      </c>
      <c r="H19" s="453">
        <f t="shared" ref="H19:P19" si="7">H16*H13</f>
        <v>6701400</v>
      </c>
      <c r="I19" s="453">
        <f t="shared" si="7"/>
        <v>6854155.2000000011</v>
      </c>
      <c r="J19" s="453">
        <f t="shared" si="7"/>
        <v>6972136.5600000005</v>
      </c>
      <c r="K19" s="453">
        <f t="shared" si="7"/>
        <v>7111579.2912000017</v>
      </c>
      <c r="L19" s="453">
        <f t="shared" si="7"/>
        <v>7253810.8770240024</v>
      </c>
      <c r="M19" s="453">
        <f t="shared" si="7"/>
        <v>7419158.0181112345</v>
      </c>
      <c r="N19" s="453">
        <f t="shared" si="7"/>
        <v>7546864.8364557717</v>
      </c>
      <c r="O19" s="453">
        <f t="shared" si="7"/>
        <v>7697802.1331848884</v>
      </c>
      <c r="P19" s="454">
        <f t="shared" si="7"/>
        <v>7851758.1758485856</v>
      </c>
    </row>
    <row r="20" spans="2:18" s="410" customFormat="1" x14ac:dyDescent="0.35">
      <c r="B20" s="419"/>
      <c r="C20" s="449"/>
      <c r="E20" s="419" t="s">
        <v>260</v>
      </c>
      <c r="G20" s="450">
        <v>1500000</v>
      </c>
      <c r="H20" s="450">
        <v>1600000</v>
      </c>
      <c r="I20" s="450">
        <v>1650000</v>
      </c>
      <c r="J20" s="450">
        <v>1700000</v>
      </c>
      <c r="K20" s="450">
        <v>1750000</v>
      </c>
      <c r="L20" s="450">
        <v>1800000</v>
      </c>
      <c r="M20" s="450">
        <v>1850000</v>
      </c>
      <c r="N20" s="450">
        <v>1900000</v>
      </c>
      <c r="O20" s="450">
        <v>1950000</v>
      </c>
      <c r="P20" s="451">
        <v>2000000</v>
      </c>
    </row>
    <row r="21" spans="2:18" s="410" customFormat="1" ht="16" thickBot="1" x14ac:dyDescent="0.4">
      <c r="B21" s="458" t="s">
        <v>277</v>
      </c>
      <c r="C21" s="459">
        <v>0.04</v>
      </c>
      <c r="E21" s="419" t="s">
        <v>79</v>
      </c>
      <c r="G21" s="450">
        <v>50000</v>
      </c>
      <c r="H21" s="450">
        <v>55000</v>
      </c>
      <c r="I21" s="450">
        <v>60000</v>
      </c>
      <c r="J21" s="450">
        <v>65000</v>
      </c>
      <c r="K21" s="450">
        <v>70000</v>
      </c>
      <c r="L21" s="450">
        <v>75000</v>
      </c>
      <c r="M21" s="450">
        <v>80000</v>
      </c>
      <c r="N21" s="450">
        <v>85000</v>
      </c>
      <c r="O21" s="450">
        <v>90000</v>
      </c>
      <c r="P21" s="451">
        <v>95000</v>
      </c>
    </row>
    <row r="22" spans="2:18" s="410" customFormat="1" x14ac:dyDescent="0.35">
      <c r="E22" s="419" t="s">
        <v>278</v>
      </c>
      <c r="G22" s="450">
        <v>1000</v>
      </c>
      <c r="H22" s="450">
        <v>1200</v>
      </c>
      <c r="I22" s="450">
        <v>1400</v>
      </c>
      <c r="J22" s="450">
        <v>1600</v>
      </c>
      <c r="K22" s="450">
        <v>1800</v>
      </c>
      <c r="L22" s="450">
        <v>2000</v>
      </c>
      <c r="M22" s="450">
        <v>2200</v>
      </c>
      <c r="N22" s="450">
        <v>2400</v>
      </c>
      <c r="O22" s="450">
        <v>2600</v>
      </c>
      <c r="P22" s="451">
        <v>2800</v>
      </c>
      <c r="R22" s="460"/>
    </row>
    <row r="23" spans="2:18" s="410" customFormat="1" ht="16" thickBot="1" x14ac:dyDescent="0.4">
      <c r="B23" s="461"/>
      <c r="C23" s="462"/>
      <c r="E23" s="419" t="s">
        <v>279</v>
      </c>
      <c r="G23" s="439">
        <f>SUM(G19:G22)</f>
        <v>8121000</v>
      </c>
      <c r="H23" s="439">
        <f t="shared" ref="H23:P23" si="8">SUM(H19:H22)</f>
        <v>8357600</v>
      </c>
      <c r="I23" s="439">
        <f t="shared" si="8"/>
        <v>8565555.2000000011</v>
      </c>
      <c r="J23" s="439">
        <f t="shared" si="8"/>
        <v>8738736.5600000005</v>
      </c>
      <c r="K23" s="439">
        <f t="shared" si="8"/>
        <v>8933379.2912000008</v>
      </c>
      <c r="L23" s="439">
        <f t="shared" si="8"/>
        <v>9130810.8770240024</v>
      </c>
      <c r="M23" s="439">
        <f t="shared" si="8"/>
        <v>9351358.0181112345</v>
      </c>
      <c r="N23" s="439">
        <f t="shared" si="8"/>
        <v>9534264.8364557717</v>
      </c>
      <c r="O23" s="439">
        <f t="shared" si="8"/>
        <v>9740402.1331848875</v>
      </c>
      <c r="P23" s="463">
        <f t="shared" si="8"/>
        <v>9949558.1758485846</v>
      </c>
      <c r="R23" s="460"/>
    </row>
    <row r="24" spans="2:18" s="410" customFormat="1" x14ac:dyDescent="0.35">
      <c r="B24" s="411" t="s">
        <v>280</v>
      </c>
      <c r="C24" s="412"/>
      <c r="E24" s="419"/>
      <c r="G24" s="439"/>
      <c r="H24" s="439"/>
      <c r="I24" s="439"/>
      <c r="J24" s="439"/>
      <c r="K24" s="439"/>
      <c r="L24" s="439"/>
      <c r="P24" s="449"/>
    </row>
    <row r="25" spans="2:18" s="410" customFormat="1" x14ac:dyDescent="0.35">
      <c r="B25" s="417" t="s">
        <v>281</v>
      </c>
      <c r="C25" s="464">
        <f>SUM(C8:C9)/AVERAGE(G56:P56)</f>
        <v>5.4870537754412556</v>
      </c>
      <c r="E25" s="456" t="s">
        <v>282</v>
      </c>
      <c r="F25" s="457"/>
      <c r="P25" s="449"/>
    </row>
    <row r="26" spans="2:18" s="410" customFormat="1" x14ac:dyDescent="0.35">
      <c r="B26" s="417" t="s">
        <v>283</v>
      </c>
      <c r="C26" s="463">
        <f>SUMIFS(F56:P56,F56:P56,"&lt;0")</f>
        <v>-20200000</v>
      </c>
      <c r="E26" s="419" t="s">
        <v>5</v>
      </c>
      <c r="G26" s="465">
        <f t="shared" ref="G26:P26" si="9">G19*(1-$C$11)</f>
        <v>2299500</v>
      </c>
      <c r="H26" s="465">
        <f t="shared" si="9"/>
        <v>2345490</v>
      </c>
      <c r="I26" s="465">
        <f t="shared" si="9"/>
        <v>2398954.3200000003</v>
      </c>
      <c r="J26" s="465">
        <f t="shared" si="9"/>
        <v>2440247.7960000001</v>
      </c>
      <c r="K26" s="465">
        <f t="shared" si="9"/>
        <v>2489052.7519200006</v>
      </c>
      <c r="L26" s="465">
        <f t="shared" si="9"/>
        <v>2538833.8069584006</v>
      </c>
      <c r="M26" s="465">
        <f t="shared" si="9"/>
        <v>2596705.3063389319</v>
      </c>
      <c r="N26" s="465">
        <f t="shared" si="9"/>
        <v>2641402.6927595199</v>
      </c>
      <c r="O26" s="465">
        <f t="shared" si="9"/>
        <v>2694230.7466147109</v>
      </c>
      <c r="P26" s="466">
        <f t="shared" si="9"/>
        <v>2748115.3615470049</v>
      </c>
    </row>
    <row r="27" spans="2:18" s="410" customFormat="1" x14ac:dyDescent="0.35">
      <c r="B27" s="417" t="s">
        <v>284</v>
      </c>
      <c r="C27" s="463">
        <f>SUMIFS(F56:P56,F56:P56,"&gt;0")</f>
        <v>36813927.522289619</v>
      </c>
      <c r="E27" s="419" t="s">
        <v>260</v>
      </c>
      <c r="G27" s="465">
        <f t="shared" ref="G27:P27" si="10">G20*(1-$C$12)</f>
        <v>1125000</v>
      </c>
      <c r="H27" s="465">
        <f t="shared" si="10"/>
        <v>1200000</v>
      </c>
      <c r="I27" s="465">
        <f t="shared" si="10"/>
        <v>1237500</v>
      </c>
      <c r="J27" s="465">
        <f t="shared" si="10"/>
        <v>1275000</v>
      </c>
      <c r="K27" s="465">
        <f t="shared" si="10"/>
        <v>1312500</v>
      </c>
      <c r="L27" s="465">
        <f t="shared" si="10"/>
        <v>1350000</v>
      </c>
      <c r="M27" s="465">
        <f t="shared" si="10"/>
        <v>1387500</v>
      </c>
      <c r="N27" s="465">
        <f t="shared" si="10"/>
        <v>1425000</v>
      </c>
      <c r="O27" s="465">
        <f t="shared" si="10"/>
        <v>1462500</v>
      </c>
      <c r="P27" s="466">
        <f t="shared" si="10"/>
        <v>1500000</v>
      </c>
    </row>
    <row r="28" spans="2:18" s="410" customFormat="1" ht="16" thickBot="1" x14ac:dyDescent="0.4">
      <c r="B28" s="458" t="s">
        <v>41</v>
      </c>
      <c r="C28" s="467">
        <f>C27/-C26</f>
        <v>1.822471659519288</v>
      </c>
      <c r="E28" s="419" t="s">
        <v>79</v>
      </c>
      <c r="G28" s="465">
        <f t="shared" ref="G28:P28" si="11">G21*(1-$C$13)</f>
        <v>4999.9999999999991</v>
      </c>
      <c r="H28" s="465">
        <f t="shared" si="11"/>
        <v>5499.9999999999991</v>
      </c>
      <c r="I28" s="465">
        <f t="shared" si="11"/>
        <v>5999.9999999999991</v>
      </c>
      <c r="J28" s="465">
        <f t="shared" si="11"/>
        <v>6499.9999999999982</v>
      </c>
      <c r="K28" s="465">
        <f t="shared" si="11"/>
        <v>6999.9999999999982</v>
      </c>
      <c r="L28" s="465">
        <f t="shared" si="11"/>
        <v>7499.9999999999982</v>
      </c>
      <c r="M28" s="465">
        <f t="shared" si="11"/>
        <v>7999.9999999999982</v>
      </c>
      <c r="N28" s="465">
        <f t="shared" si="11"/>
        <v>8499.9999999999982</v>
      </c>
      <c r="O28" s="465">
        <f t="shared" si="11"/>
        <v>8999.9999999999982</v>
      </c>
      <c r="P28" s="466">
        <f t="shared" si="11"/>
        <v>9499.9999999999982</v>
      </c>
    </row>
    <row r="29" spans="2:18" s="410" customFormat="1" x14ac:dyDescent="0.35">
      <c r="E29" s="419" t="s">
        <v>285</v>
      </c>
      <c r="G29" s="465">
        <f t="shared" ref="G29:P29" si="12">G22*(1-$C$14)</f>
        <v>50.000000000000043</v>
      </c>
      <c r="H29" s="465">
        <f t="shared" si="12"/>
        <v>60.000000000000057</v>
      </c>
      <c r="I29" s="465">
        <f t="shared" si="12"/>
        <v>70.000000000000057</v>
      </c>
      <c r="J29" s="465">
        <f t="shared" si="12"/>
        <v>80.000000000000071</v>
      </c>
      <c r="K29" s="465">
        <f t="shared" si="12"/>
        <v>90.000000000000085</v>
      </c>
      <c r="L29" s="465">
        <f t="shared" si="12"/>
        <v>100.00000000000009</v>
      </c>
      <c r="M29" s="465">
        <f t="shared" si="12"/>
        <v>110.0000000000001</v>
      </c>
      <c r="N29" s="465">
        <f t="shared" si="12"/>
        <v>120.00000000000011</v>
      </c>
      <c r="O29" s="465">
        <f t="shared" si="12"/>
        <v>130.00000000000011</v>
      </c>
      <c r="P29" s="466">
        <f t="shared" si="12"/>
        <v>140.00000000000011</v>
      </c>
    </row>
    <row r="30" spans="2:18" s="410" customFormat="1" x14ac:dyDescent="0.35">
      <c r="E30" s="419" t="s">
        <v>119</v>
      </c>
      <c r="G30" s="465">
        <f>SUM(G26:G29)</f>
        <v>3429550</v>
      </c>
      <c r="H30" s="465">
        <f>SUM(H26:H29)</f>
        <v>3551050</v>
      </c>
      <c r="I30" s="465">
        <f t="shared" ref="I30:P30" si="13">SUM(I26:I29)</f>
        <v>3642524.3200000003</v>
      </c>
      <c r="J30" s="465">
        <f t="shared" si="13"/>
        <v>3721827.7960000001</v>
      </c>
      <c r="K30" s="465">
        <f t="shared" si="13"/>
        <v>3808642.7519200006</v>
      </c>
      <c r="L30" s="465">
        <f t="shared" si="13"/>
        <v>3896433.8069584006</v>
      </c>
      <c r="M30" s="465">
        <f t="shared" si="13"/>
        <v>3992315.3063389319</v>
      </c>
      <c r="N30" s="465">
        <f t="shared" si="13"/>
        <v>4075022.6927595199</v>
      </c>
      <c r="O30" s="465">
        <f t="shared" si="13"/>
        <v>4165860.7466147109</v>
      </c>
      <c r="P30" s="466">
        <f t="shared" si="13"/>
        <v>4257755.3615470044</v>
      </c>
    </row>
    <row r="31" spans="2:18" s="410" customFormat="1" x14ac:dyDescent="0.35">
      <c r="B31" s="461"/>
      <c r="E31" s="419"/>
      <c r="P31" s="449"/>
    </row>
    <row r="32" spans="2:18" s="410" customFormat="1" x14ac:dyDescent="0.35">
      <c r="B32" s="461"/>
      <c r="C32" s="468"/>
      <c r="E32" s="456" t="s">
        <v>286</v>
      </c>
      <c r="F32" s="457"/>
      <c r="P32" s="449"/>
    </row>
    <row r="33" spans="2:16" s="410" customFormat="1" x14ac:dyDescent="0.35">
      <c r="B33" s="461"/>
      <c r="C33" s="468"/>
      <c r="E33" s="419" t="s">
        <v>5</v>
      </c>
      <c r="G33" s="439">
        <f>G19-G26</f>
        <v>4270500</v>
      </c>
      <c r="H33" s="439">
        <f t="shared" ref="H33:P36" si="14">H19-H26</f>
        <v>4355910</v>
      </c>
      <c r="I33" s="439">
        <f t="shared" si="14"/>
        <v>4455200.8800000008</v>
      </c>
      <c r="J33" s="439">
        <f t="shared" si="14"/>
        <v>4531888.7640000004</v>
      </c>
      <c r="K33" s="439">
        <f t="shared" si="14"/>
        <v>4622526.5392800011</v>
      </c>
      <c r="L33" s="439">
        <f t="shared" si="14"/>
        <v>4714977.0700656017</v>
      </c>
      <c r="M33" s="439">
        <f t="shared" si="14"/>
        <v>4822452.7117723022</v>
      </c>
      <c r="N33" s="439">
        <f t="shared" si="14"/>
        <v>4905462.1436962523</v>
      </c>
      <c r="O33" s="439">
        <f t="shared" si="14"/>
        <v>5003571.386570178</v>
      </c>
      <c r="P33" s="463">
        <f t="shared" si="14"/>
        <v>5103642.8143015802</v>
      </c>
    </row>
    <row r="34" spans="2:16" s="410" customFormat="1" x14ac:dyDescent="0.35">
      <c r="B34" s="461"/>
      <c r="C34" s="468"/>
      <c r="D34" s="468"/>
      <c r="E34" s="419" t="s">
        <v>260</v>
      </c>
      <c r="G34" s="439">
        <f>G20-G27</f>
        <v>375000</v>
      </c>
      <c r="H34" s="439">
        <f t="shared" si="14"/>
        <v>400000</v>
      </c>
      <c r="I34" s="439">
        <f t="shared" si="14"/>
        <v>412500</v>
      </c>
      <c r="J34" s="439">
        <f t="shared" si="14"/>
        <v>425000</v>
      </c>
      <c r="K34" s="439">
        <f t="shared" si="14"/>
        <v>437500</v>
      </c>
      <c r="L34" s="439">
        <f t="shared" si="14"/>
        <v>450000</v>
      </c>
      <c r="M34" s="439">
        <f t="shared" si="14"/>
        <v>462500</v>
      </c>
      <c r="N34" s="439">
        <f t="shared" si="14"/>
        <v>475000</v>
      </c>
      <c r="O34" s="439">
        <f t="shared" si="14"/>
        <v>487500</v>
      </c>
      <c r="P34" s="463">
        <f t="shared" si="14"/>
        <v>500000</v>
      </c>
    </row>
    <row r="35" spans="2:16" s="410" customFormat="1" x14ac:dyDescent="0.35">
      <c r="B35" s="461"/>
      <c r="C35" s="468"/>
      <c r="D35" s="468"/>
      <c r="E35" s="419" t="s">
        <v>79</v>
      </c>
      <c r="G35" s="439">
        <f>G21-G28</f>
        <v>45000</v>
      </c>
      <c r="H35" s="439">
        <f t="shared" si="14"/>
        <v>49500</v>
      </c>
      <c r="I35" s="439">
        <f t="shared" si="14"/>
        <v>54000</v>
      </c>
      <c r="J35" s="439">
        <f t="shared" si="14"/>
        <v>58500</v>
      </c>
      <c r="K35" s="439">
        <f t="shared" si="14"/>
        <v>63000</v>
      </c>
      <c r="L35" s="439">
        <f t="shared" si="14"/>
        <v>67500</v>
      </c>
      <c r="M35" s="439">
        <f t="shared" si="14"/>
        <v>72000</v>
      </c>
      <c r="N35" s="439">
        <f t="shared" si="14"/>
        <v>76500</v>
      </c>
      <c r="O35" s="439">
        <f t="shared" si="14"/>
        <v>81000</v>
      </c>
      <c r="P35" s="463">
        <f t="shared" si="14"/>
        <v>85500</v>
      </c>
    </row>
    <row r="36" spans="2:16" s="410" customFormat="1" x14ac:dyDescent="0.35">
      <c r="C36" s="468"/>
      <c r="D36" s="468"/>
      <c r="E36" s="419" t="s">
        <v>287</v>
      </c>
      <c r="G36" s="439">
        <f>G22-G29</f>
        <v>950</v>
      </c>
      <c r="H36" s="439">
        <f t="shared" si="14"/>
        <v>1140</v>
      </c>
      <c r="I36" s="439">
        <f t="shared" si="14"/>
        <v>1330</v>
      </c>
      <c r="J36" s="439">
        <f t="shared" si="14"/>
        <v>1520</v>
      </c>
      <c r="K36" s="439">
        <f t="shared" si="14"/>
        <v>1710</v>
      </c>
      <c r="L36" s="439">
        <f t="shared" si="14"/>
        <v>1900</v>
      </c>
      <c r="M36" s="439">
        <f t="shared" si="14"/>
        <v>2090</v>
      </c>
      <c r="N36" s="439">
        <f t="shared" si="14"/>
        <v>2280</v>
      </c>
      <c r="O36" s="439">
        <f t="shared" si="14"/>
        <v>2470</v>
      </c>
      <c r="P36" s="463">
        <f t="shared" si="14"/>
        <v>2660</v>
      </c>
    </row>
    <row r="37" spans="2:16" s="410" customFormat="1" x14ac:dyDescent="0.35">
      <c r="C37" s="468"/>
      <c r="D37" s="468"/>
      <c r="E37" s="419" t="s">
        <v>288</v>
      </c>
      <c r="G37" s="439">
        <f>SUM(G33:G36)</f>
        <v>4691450</v>
      </c>
      <c r="H37" s="439">
        <f t="shared" ref="H37:P37" si="15">SUM(H33:H36)</f>
        <v>4806550</v>
      </c>
      <c r="I37" s="439">
        <f t="shared" si="15"/>
        <v>4923030.8800000008</v>
      </c>
      <c r="J37" s="439">
        <f t="shared" si="15"/>
        <v>5016908.7640000004</v>
      </c>
      <c r="K37" s="439">
        <f t="shared" si="15"/>
        <v>5124736.5392800011</v>
      </c>
      <c r="L37" s="439">
        <f t="shared" si="15"/>
        <v>5234377.0700656017</v>
      </c>
      <c r="M37" s="439">
        <f t="shared" si="15"/>
        <v>5359042.7117723022</v>
      </c>
      <c r="N37" s="439">
        <f t="shared" si="15"/>
        <v>5459242.1436962523</v>
      </c>
      <c r="O37" s="439">
        <f t="shared" si="15"/>
        <v>5574541.386570178</v>
      </c>
      <c r="P37" s="463">
        <f t="shared" si="15"/>
        <v>5691802.8143015802</v>
      </c>
    </row>
    <row r="38" spans="2:16" s="410" customFormat="1" x14ac:dyDescent="0.35">
      <c r="C38" s="439"/>
      <c r="E38" s="419"/>
      <c r="G38" s="439"/>
      <c r="H38" s="439"/>
      <c r="I38" s="439"/>
      <c r="J38" s="439"/>
      <c r="K38" s="439"/>
      <c r="L38" s="439"/>
      <c r="M38" s="439"/>
      <c r="N38" s="439"/>
      <c r="O38" s="439"/>
      <c r="P38" s="463"/>
    </row>
    <row r="39" spans="2:16" s="410" customFormat="1" x14ac:dyDescent="0.35">
      <c r="E39" s="469" t="s">
        <v>289</v>
      </c>
      <c r="F39" s="470"/>
      <c r="G39" s="450">
        <v>700000</v>
      </c>
      <c r="H39" s="450">
        <v>720000</v>
      </c>
      <c r="I39" s="450">
        <v>740000</v>
      </c>
      <c r="J39" s="450">
        <v>760000</v>
      </c>
      <c r="K39" s="450">
        <v>780000</v>
      </c>
      <c r="L39" s="450">
        <v>800000</v>
      </c>
      <c r="M39" s="450">
        <v>820000</v>
      </c>
      <c r="N39" s="450">
        <v>840000</v>
      </c>
      <c r="O39" s="450">
        <v>860000</v>
      </c>
      <c r="P39" s="451">
        <v>880000</v>
      </c>
    </row>
    <row r="40" spans="2:16" s="410" customFormat="1" x14ac:dyDescent="0.35">
      <c r="E40" s="419"/>
      <c r="P40" s="449"/>
    </row>
    <row r="41" spans="2:16" s="410" customFormat="1" x14ac:dyDescent="0.35">
      <c r="B41" s="471"/>
      <c r="E41" s="469" t="s">
        <v>150</v>
      </c>
      <c r="F41" s="470"/>
      <c r="G41" s="439">
        <f>G37-G39</f>
        <v>3991450</v>
      </c>
      <c r="H41" s="439">
        <f t="shared" ref="H41:P41" si="16">H37-H39</f>
        <v>4086550</v>
      </c>
      <c r="I41" s="439">
        <f t="shared" si="16"/>
        <v>4183030.8800000008</v>
      </c>
      <c r="J41" s="439">
        <f t="shared" si="16"/>
        <v>4256908.7640000004</v>
      </c>
      <c r="K41" s="439">
        <f t="shared" si="16"/>
        <v>4344736.5392800011</v>
      </c>
      <c r="L41" s="439">
        <f t="shared" si="16"/>
        <v>4434377.0700656017</v>
      </c>
      <c r="M41" s="439">
        <f t="shared" si="16"/>
        <v>4539042.7117723022</v>
      </c>
      <c r="N41" s="439">
        <f t="shared" si="16"/>
        <v>4619242.1436962523</v>
      </c>
      <c r="O41" s="439">
        <f t="shared" si="16"/>
        <v>4714541.386570178</v>
      </c>
      <c r="P41" s="463">
        <f t="shared" si="16"/>
        <v>4811802.8143015802</v>
      </c>
    </row>
    <row r="42" spans="2:16" s="410" customFormat="1" x14ac:dyDescent="0.35">
      <c r="B42" s="471"/>
      <c r="D42" s="472"/>
      <c r="E42" s="473" t="s">
        <v>290</v>
      </c>
      <c r="F42" s="470"/>
      <c r="G42" s="474">
        <f>G41/G23</f>
        <v>0.49149735254279031</v>
      </c>
      <c r="H42" s="474">
        <f t="shared" ref="H42:P42" si="17">H41/H23</f>
        <v>0.48896214224179191</v>
      </c>
      <c r="I42" s="474">
        <f t="shared" si="17"/>
        <v>0.48835490313575941</v>
      </c>
      <c r="J42" s="474">
        <f t="shared" si="17"/>
        <v>0.48713091815643428</v>
      </c>
      <c r="K42" s="474">
        <f t="shared" si="17"/>
        <v>0.48634860310474765</v>
      </c>
      <c r="L42" s="474">
        <f t="shared" si="17"/>
        <v>0.48564986503267654</v>
      </c>
      <c r="M42" s="474">
        <f t="shared" si="17"/>
        <v>0.48538861446447834</v>
      </c>
      <c r="N42" s="474">
        <f t="shared" si="17"/>
        <v>0.48448854976566713</v>
      </c>
      <c r="O42" s="474">
        <f t="shared" si="17"/>
        <v>0.48401917314153348</v>
      </c>
      <c r="P42" s="475">
        <f t="shared" si="17"/>
        <v>0.48361974765690419</v>
      </c>
    </row>
    <row r="43" spans="2:16" s="410" customFormat="1" x14ac:dyDescent="0.35">
      <c r="B43" s="471"/>
      <c r="E43" s="419"/>
      <c r="P43" s="449"/>
    </row>
    <row r="44" spans="2:16" s="410" customFormat="1" x14ac:dyDescent="0.35">
      <c r="B44" s="471"/>
      <c r="E44" s="456" t="s">
        <v>139</v>
      </c>
      <c r="F44" s="457"/>
      <c r="P44" s="449"/>
    </row>
    <row r="45" spans="2:16" s="410" customFormat="1" x14ac:dyDescent="0.35">
      <c r="B45" s="471"/>
      <c r="E45" s="419" t="s">
        <v>140</v>
      </c>
      <c r="G45" s="439">
        <f t="shared" ref="G45:P45" si="18">G23*$C$17</f>
        <v>243630</v>
      </c>
      <c r="H45" s="439">
        <f t="shared" si="18"/>
        <v>250728</v>
      </c>
      <c r="I45" s="439">
        <f t="shared" si="18"/>
        <v>256966.65600000002</v>
      </c>
      <c r="J45" s="439">
        <f t="shared" si="18"/>
        <v>262162.0968</v>
      </c>
      <c r="K45" s="439">
        <f t="shared" si="18"/>
        <v>268001.37873600004</v>
      </c>
      <c r="L45" s="439">
        <f t="shared" si="18"/>
        <v>273924.32631072006</v>
      </c>
      <c r="M45" s="439">
        <f t="shared" si="18"/>
        <v>280540.74054333701</v>
      </c>
      <c r="N45" s="439">
        <f t="shared" si="18"/>
        <v>286027.94509367313</v>
      </c>
      <c r="O45" s="439">
        <f t="shared" si="18"/>
        <v>292212.0639955466</v>
      </c>
      <c r="P45" s="463">
        <f t="shared" si="18"/>
        <v>298486.74527545751</v>
      </c>
    </row>
    <row r="46" spans="2:16" s="410" customFormat="1" x14ac:dyDescent="0.35">
      <c r="E46" s="419" t="s">
        <v>143</v>
      </c>
      <c r="G46" s="439">
        <f t="shared" ref="G46:P46" si="19">IF(G41&gt;$C$19,(G41-$C$19)*$C$18,0)</f>
        <v>14145</v>
      </c>
      <c r="H46" s="439">
        <f t="shared" si="19"/>
        <v>23655</v>
      </c>
      <c r="I46" s="439">
        <f t="shared" si="19"/>
        <v>33303.088000000083</v>
      </c>
      <c r="J46" s="439">
        <f t="shared" si="19"/>
        <v>40690.876400000045</v>
      </c>
      <c r="K46" s="439">
        <f t="shared" si="19"/>
        <v>49473.653928000109</v>
      </c>
      <c r="L46" s="439">
        <f t="shared" si="19"/>
        <v>58437.707006560173</v>
      </c>
      <c r="M46" s="439">
        <f t="shared" si="19"/>
        <v>68904.271177230214</v>
      </c>
      <c r="N46" s="439">
        <f t="shared" si="19"/>
        <v>76924.214369625231</v>
      </c>
      <c r="O46" s="439">
        <f t="shared" si="19"/>
        <v>86454.1386570178</v>
      </c>
      <c r="P46" s="463">
        <f t="shared" si="19"/>
        <v>96180.281430158022</v>
      </c>
    </row>
    <row r="47" spans="2:16" s="410" customFormat="1" x14ac:dyDescent="0.35">
      <c r="E47" s="419" t="s">
        <v>164</v>
      </c>
      <c r="G47" s="439">
        <f>SUM(G45:G46)</f>
        <v>257775</v>
      </c>
      <c r="H47" s="439">
        <f t="shared" ref="H47:P47" si="20">SUM(H45:H46)</f>
        <v>274383</v>
      </c>
      <c r="I47" s="439">
        <f t="shared" si="20"/>
        <v>290269.74400000012</v>
      </c>
      <c r="J47" s="439">
        <f t="shared" si="20"/>
        <v>302852.97320000007</v>
      </c>
      <c r="K47" s="439">
        <f t="shared" si="20"/>
        <v>317475.03266400017</v>
      </c>
      <c r="L47" s="439">
        <f t="shared" si="20"/>
        <v>332362.03331728023</v>
      </c>
      <c r="M47" s="439">
        <f t="shared" si="20"/>
        <v>349445.01172056724</v>
      </c>
      <c r="N47" s="439">
        <f t="shared" si="20"/>
        <v>362952.15946329839</v>
      </c>
      <c r="O47" s="439">
        <f t="shared" si="20"/>
        <v>378666.20265256439</v>
      </c>
      <c r="P47" s="463">
        <f t="shared" si="20"/>
        <v>394667.02670561551</v>
      </c>
    </row>
    <row r="48" spans="2:16" s="410" customFormat="1" x14ac:dyDescent="0.35">
      <c r="E48" s="419"/>
      <c r="N48" s="439"/>
      <c r="P48" s="449"/>
    </row>
    <row r="49" spans="2:16" s="410" customFormat="1" x14ac:dyDescent="0.35">
      <c r="E49" s="456" t="s">
        <v>291</v>
      </c>
      <c r="G49" s="439">
        <f>G41-G47</f>
        <v>3733675</v>
      </c>
      <c r="H49" s="439">
        <f t="shared" ref="H49:P49" si="21">H41-H47</f>
        <v>3812167</v>
      </c>
      <c r="I49" s="439">
        <f t="shared" si="21"/>
        <v>3892761.1360000009</v>
      </c>
      <c r="J49" s="439">
        <f t="shared" si="21"/>
        <v>3954055.7908000005</v>
      </c>
      <c r="K49" s="439">
        <f t="shared" si="21"/>
        <v>4027261.506616001</v>
      </c>
      <c r="L49" s="439">
        <f t="shared" si="21"/>
        <v>4102015.0367483217</v>
      </c>
      <c r="M49" s="439">
        <f t="shared" si="21"/>
        <v>4189597.7000517352</v>
      </c>
      <c r="N49" s="439">
        <f t="shared" si="21"/>
        <v>4256289.9842329537</v>
      </c>
      <c r="O49" s="439">
        <f t="shared" si="21"/>
        <v>4335875.1839176137</v>
      </c>
      <c r="P49" s="463">
        <f t="shared" si="21"/>
        <v>4417135.787595965</v>
      </c>
    </row>
    <row r="50" spans="2:16" s="410" customFormat="1" x14ac:dyDescent="0.35">
      <c r="E50" s="419"/>
      <c r="N50" s="439"/>
      <c r="P50" s="449"/>
    </row>
    <row r="51" spans="2:16" s="410" customFormat="1" x14ac:dyDescent="0.35">
      <c r="E51" s="419" t="s">
        <v>292</v>
      </c>
      <c r="G51" s="450">
        <v>20000</v>
      </c>
      <c r="H51" s="450">
        <v>22000</v>
      </c>
      <c r="I51" s="450">
        <v>24000</v>
      </c>
      <c r="J51" s="450">
        <v>26000</v>
      </c>
      <c r="K51" s="450">
        <v>28000</v>
      </c>
      <c r="L51" s="450">
        <v>30000</v>
      </c>
      <c r="M51" s="450">
        <v>32000</v>
      </c>
      <c r="N51" s="450">
        <v>34000</v>
      </c>
      <c r="O51" s="450">
        <v>36000</v>
      </c>
      <c r="P51" s="451">
        <v>38000</v>
      </c>
    </row>
    <row r="52" spans="2:16" s="410" customFormat="1" x14ac:dyDescent="0.35">
      <c r="E52" s="419"/>
      <c r="N52" s="439"/>
      <c r="P52" s="449"/>
    </row>
    <row r="53" spans="2:16" s="410" customFormat="1" x14ac:dyDescent="0.35">
      <c r="B53" s="471"/>
      <c r="E53" s="469" t="s">
        <v>158</v>
      </c>
      <c r="G53" s="439">
        <f>G41-(G47+G51)</f>
        <v>3713675</v>
      </c>
      <c r="H53" s="439">
        <f t="shared" ref="H53:P53" si="22">H41-(H47+H51)</f>
        <v>3790167</v>
      </c>
      <c r="I53" s="439">
        <f t="shared" si="22"/>
        <v>3868761.1360000009</v>
      </c>
      <c r="J53" s="439">
        <f t="shared" si="22"/>
        <v>3928055.7908000005</v>
      </c>
      <c r="K53" s="439">
        <f t="shared" si="22"/>
        <v>3999261.506616001</v>
      </c>
      <c r="L53" s="439">
        <f t="shared" si="22"/>
        <v>4072015.0367483217</v>
      </c>
      <c r="M53" s="439">
        <f t="shared" si="22"/>
        <v>4157597.7000517352</v>
      </c>
      <c r="N53" s="439">
        <f t="shared" si="22"/>
        <v>4222289.9842329537</v>
      </c>
      <c r="O53" s="439">
        <f t="shared" si="22"/>
        <v>4299875.1839176137</v>
      </c>
      <c r="P53" s="463">
        <f t="shared" si="22"/>
        <v>4379135.787595965</v>
      </c>
    </row>
    <row r="54" spans="2:16" s="410" customFormat="1" x14ac:dyDescent="0.35">
      <c r="B54" s="471"/>
      <c r="E54" s="419" t="s">
        <v>293</v>
      </c>
      <c r="G54" s="439">
        <f t="shared" ref="G54:P54" si="23">G23*$C$21</f>
        <v>324840</v>
      </c>
      <c r="H54" s="439">
        <f t="shared" si="23"/>
        <v>334304</v>
      </c>
      <c r="I54" s="439">
        <f t="shared" si="23"/>
        <v>342622.20800000004</v>
      </c>
      <c r="J54" s="439">
        <f t="shared" si="23"/>
        <v>349549.46240000002</v>
      </c>
      <c r="K54" s="439">
        <f t="shared" si="23"/>
        <v>357335.17164800002</v>
      </c>
      <c r="L54" s="439">
        <f t="shared" si="23"/>
        <v>365232.4350809601</v>
      </c>
      <c r="M54" s="439">
        <f t="shared" si="23"/>
        <v>374054.32072444941</v>
      </c>
      <c r="N54" s="439">
        <f t="shared" si="23"/>
        <v>381370.5934582309</v>
      </c>
      <c r="O54" s="439">
        <f t="shared" si="23"/>
        <v>389616.08532739553</v>
      </c>
      <c r="P54" s="463">
        <f t="shared" si="23"/>
        <v>397982.32703394338</v>
      </c>
    </row>
    <row r="55" spans="2:16" s="410" customFormat="1" x14ac:dyDescent="0.35">
      <c r="B55" s="471"/>
      <c r="E55" s="419"/>
      <c r="P55" s="449"/>
    </row>
    <row r="56" spans="2:16" s="410" customFormat="1" x14ac:dyDescent="0.35">
      <c r="B56" s="471"/>
      <c r="E56" s="469" t="s">
        <v>160</v>
      </c>
      <c r="F56" s="439">
        <f>F7+F8</f>
        <v>-20200000</v>
      </c>
      <c r="G56" s="439">
        <f>G53-G54</f>
        <v>3388835</v>
      </c>
      <c r="H56" s="439">
        <f t="shared" ref="H56:P56" si="24">H53-H54</f>
        <v>3455863</v>
      </c>
      <c r="I56" s="439">
        <f t="shared" si="24"/>
        <v>3526138.9280000008</v>
      </c>
      <c r="J56" s="439">
        <f t="shared" si="24"/>
        <v>3578506.3284000005</v>
      </c>
      <c r="K56" s="439">
        <f t="shared" si="24"/>
        <v>3641926.3349680011</v>
      </c>
      <c r="L56" s="439">
        <f t="shared" si="24"/>
        <v>3706782.6016673618</v>
      </c>
      <c r="M56" s="439">
        <f t="shared" si="24"/>
        <v>3783543.3793272856</v>
      </c>
      <c r="N56" s="439">
        <f t="shared" si="24"/>
        <v>3840919.3907747227</v>
      </c>
      <c r="O56" s="439">
        <f t="shared" si="24"/>
        <v>3910259.098590218</v>
      </c>
      <c r="P56" s="463">
        <f t="shared" si="24"/>
        <v>3981153.4605620215</v>
      </c>
    </row>
    <row r="57" spans="2:16" s="410" customFormat="1" ht="16" thickBot="1" x14ac:dyDescent="0.4">
      <c r="B57" s="471"/>
      <c r="E57" s="476" t="s">
        <v>294</v>
      </c>
      <c r="F57" s="477"/>
      <c r="G57" s="478">
        <f>G56/G23</f>
        <v>0.41729282108114762</v>
      </c>
      <c r="H57" s="478">
        <f t="shared" ref="H57:P57" si="25">H56/H23</f>
        <v>0.41349944960275675</v>
      </c>
      <c r="I57" s="478">
        <f t="shared" si="25"/>
        <v>0.41166495874079478</v>
      </c>
      <c r="J57" s="478">
        <f t="shared" si="25"/>
        <v>0.409499279882171</v>
      </c>
      <c r="K57" s="478">
        <f t="shared" si="25"/>
        <v>0.40767622377296253</v>
      </c>
      <c r="L57" s="478">
        <f t="shared" si="25"/>
        <v>0.40596422941962307</v>
      </c>
      <c r="M57" s="478">
        <f t="shared" si="25"/>
        <v>0.40459828101966699</v>
      </c>
      <c r="N57" s="478">
        <f t="shared" si="25"/>
        <v>0.4028542794498805</v>
      </c>
      <c r="O57" s="478">
        <f t="shared" si="25"/>
        <v>0.40144739869293805</v>
      </c>
      <c r="P57" s="479">
        <f t="shared" si="25"/>
        <v>0.40013369339613658</v>
      </c>
    </row>
    <row r="58" spans="2:16" s="410" customFormat="1" x14ac:dyDescent="0.35"/>
    <row r="59" spans="2:16" s="410" customFormat="1" x14ac:dyDescent="0.35"/>
    <row r="60" spans="2:16" s="410" customFormat="1" x14ac:dyDescent="0.35"/>
    <row r="61" spans="2:16" s="410" customFormat="1" x14ac:dyDescent="0.35"/>
    <row r="62" spans="2:16" s="410" customFormat="1" x14ac:dyDescent="0.35"/>
    <row r="63" spans="2:16" s="410" customFormat="1" x14ac:dyDescent="0.35"/>
    <row r="64" spans="2:16" s="410" customFormat="1" x14ac:dyDescent="0.35"/>
    <row r="65" spans="2:10" s="410" customFormat="1" x14ac:dyDescent="0.35"/>
    <row r="66" spans="2:10" s="410" customFormat="1" x14ac:dyDescent="0.35">
      <c r="B66" s="480"/>
      <c r="H66" s="481"/>
      <c r="I66" s="439"/>
    </row>
    <row r="67" spans="2:10" s="410" customFormat="1" x14ac:dyDescent="0.35">
      <c r="B67" s="482"/>
      <c r="J67" s="481"/>
    </row>
    <row r="68" spans="2:10" s="410" customFormat="1" x14ac:dyDescent="0.35">
      <c r="B68" s="483"/>
    </row>
    <row r="69" spans="2:10" x14ac:dyDescent="0.35">
      <c r="B69" s="483"/>
    </row>
    <row r="70" spans="2:10" x14ac:dyDescent="0.35">
      <c r="B70" s="484"/>
    </row>
    <row r="71" spans="2:10" x14ac:dyDescent="0.35">
      <c r="B71" s="483"/>
    </row>
    <row r="72" spans="2:10" x14ac:dyDescent="0.35">
      <c r="B72" s="482"/>
    </row>
    <row r="73" spans="2:10" x14ac:dyDescent="0.35">
      <c r="B73" s="483"/>
    </row>
    <row r="74" spans="2:10" x14ac:dyDescent="0.35">
      <c r="B74" s="483"/>
    </row>
    <row r="75" spans="2:10" x14ac:dyDescent="0.35">
      <c r="B75" s="484"/>
    </row>
    <row r="76" spans="2:10" x14ac:dyDescent="0.35">
      <c r="B76" s="483"/>
    </row>
    <row r="77" spans="2:10" x14ac:dyDescent="0.35">
      <c r="B77" s="482"/>
    </row>
    <row r="78" spans="2:10" x14ac:dyDescent="0.35">
      <c r="B78" s="483"/>
    </row>
    <row r="79" spans="2:10" x14ac:dyDescent="0.35">
      <c r="B79" s="483"/>
    </row>
    <row r="80" spans="2:10" x14ac:dyDescent="0.35">
      <c r="B80" s="484"/>
    </row>
    <row r="81" spans="2:2" x14ac:dyDescent="0.35">
      <c r="B81" s="484"/>
    </row>
  </sheetData>
  <dataValidations count="1">
    <dataValidation type="list" allowBlank="1" showInputMessage="1" showErrorMessage="1" sqref="C4" xr:uid="{532A983D-67FF-4D11-871F-E8773271BC3E}">
      <formula1>"1,2,3,4,5,6,7,8,9,12"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Summary</vt:lpstr>
      <vt:lpstr>Operating Cash Flow</vt:lpstr>
      <vt:lpstr>Cash Flow Projection - Advanced</vt:lpstr>
      <vt:lpstr>F&amp;B</vt:lpstr>
      <vt:lpstr>OOD</vt:lpstr>
      <vt:lpstr>Other Expenses</vt:lpstr>
      <vt:lpstr>Waterfall - IRR Hurdles</vt:lpstr>
      <vt:lpstr>Visualisations</vt:lpstr>
      <vt:lpstr>Glossary</vt:lpstr>
      <vt:lpstr>Cash Flow Projection - Basic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Bertran Moreno</dc:creator>
  <cp:lastModifiedBy>Bertran Moreno Torras</cp:lastModifiedBy>
  <cp:lastPrinted>2024-12-14T21:08:33Z</cp:lastPrinted>
  <dcterms:created xsi:type="dcterms:W3CDTF">2022-09-04T15:19:59Z</dcterms:created>
  <dcterms:modified xsi:type="dcterms:W3CDTF">2025-01-13T23:03:07Z</dcterms:modified>
</cp:coreProperties>
</file>